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710" windowWidth="15180" windowHeight="8580" tabRatio="794" activeTab="1"/>
  </bookViews>
  <sheets>
    <sheet name="INFORMATIVA SOFTWARE" sheetId="1" r:id="rId1"/>
    <sheet name="Dati scambiatore a piastre 1" sheetId="2" r:id="rId2"/>
    <sheet name="Dati scambiatore a piastre 2" sheetId="3" state="hidden" r:id="rId3"/>
    <sheet name="Tabelle Grafici" sheetId="4" state="hidden" r:id="rId4"/>
    <sheet name="Grafico in CONTROCORRENTE" sheetId="5" r:id="rId5"/>
    <sheet name="Grafico in EQUICORRENTE" sheetId="6" r:id="rId6"/>
    <sheet name="Modelli" sheetId="7" state="hidden" r:id="rId7"/>
    <sheet name="Primario" sheetId="8" state="hidden" r:id="rId8"/>
    <sheet name="Secondario" sheetId="9" state="hidden" r:id="rId9"/>
  </sheets>
  <definedNames>
    <definedName name="Modello">'Modelli'!$B$3:$B$26</definedName>
    <definedName name="Primario">'Primario'!$C$3:$C$10</definedName>
    <definedName name="Secondario">'Secondario'!$C$3:$C$10</definedName>
  </definedNames>
  <calcPr fullCalcOnLoad="1"/>
</workbook>
</file>

<file path=xl/comments2.xml><?xml version="1.0" encoding="utf-8"?>
<comments xmlns="http://schemas.openxmlformats.org/spreadsheetml/2006/main">
  <authors>
    <author>Valued Acer Customer</author>
  </authors>
  <commentList>
    <comment ref="K29" authorId="0">
      <text>
        <r>
          <rPr>
            <b/>
            <sz val="8"/>
            <rFont val="Tahoma"/>
            <family val="0"/>
          </rPr>
          <t>T acqua fredda = 20°C
Portata doccia=480lt/h
T doccia=38°C</t>
        </r>
        <r>
          <rPr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8"/>
            <rFont val="Tahoma"/>
            <family val="0"/>
          </rPr>
          <t>T acqua fredda = 20°C
Portata doccia=480lt/h
T doccia=38°C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<sst xmlns="http://schemas.openxmlformats.org/spreadsheetml/2006/main" count="313" uniqueCount="153">
  <si>
    <t>100 % Acqua (temperatura di protezione = 0 °C)</t>
  </si>
  <si>
    <t>C min (W/°C)</t>
  </si>
  <si>
    <t>C max (W/°C)</t>
  </si>
  <si>
    <t>Efficienza = Preale / Pmax teorica</t>
  </si>
  <si>
    <t>Selezione</t>
  </si>
  <si>
    <t>cp (J/kg°C)</t>
  </si>
  <si>
    <t>cp (Kcal/kg°C)</t>
  </si>
  <si>
    <t>Fluido primario</t>
  </si>
  <si>
    <t>Fluido secondario</t>
  </si>
  <si>
    <t>Fluido termovettore Primario</t>
  </si>
  <si>
    <t>Fluido termovettore Secondario</t>
  </si>
  <si>
    <t>Calore specifico del fluido termovettore (kcal/kg°C)</t>
  </si>
  <si>
    <t>Capacità termica fluido termovettore (kcal/h°C)</t>
  </si>
  <si>
    <t>Portata fluido termovettore (kg/h)</t>
  </si>
  <si>
    <t>Controcorrente</t>
  </si>
  <si>
    <t>Equicorrente</t>
  </si>
  <si>
    <t>Temperatura ingresso fluido termovettore (°C)</t>
  </si>
  <si>
    <t>Delta t max teorico (°C)</t>
  </si>
  <si>
    <t>C = Cmin/Cmax</t>
  </si>
  <si>
    <t xml:space="preserve">Potenza max teorica (W) - (kcal/h) </t>
  </si>
  <si>
    <t xml:space="preserve">Potenza reale (W) - (kcal/h) </t>
  </si>
  <si>
    <t>Temperatura di uscita fluido termovettore (°C)</t>
  </si>
  <si>
    <t>Delta t (°C)</t>
  </si>
  <si>
    <t>Dati scambiatore a piastre</t>
  </si>
  <si>
    <t>85 % Acqua - 15 % Glicole propilenico (t. di protezione = -5 °C)</t>
  </si>
  <si>
    <t>80 % Acqua - 20 % Glicole propilenico (t. di protezione = -8 °C)</t>
  </si>
  <si>
    <t>75 % Acqua - 25 % Glicole propilenico (t. di protezione = -12 °C)</t>
  </si>
  <si>
    <t>70 % Acqua - 30 % Glicole propilenico (t. di protezione = -15 °C)</t>
  </si>
  <si>
    <t>65 % Acqua - 35 % Glicole propilenico (t. di protezione = -20 °C)</t>
  </si>
  <si>
    <t>60 % Acqua - 40 % Glicole propilenico (t. di protezione = -25 °C)</t>
  </si>
  <si>
    <t>55 % Acqua - 45 % Glicole propilenico (t. di protezione = -30 °C)</t>
  </si>
  <si>
    <t>100% Glicole propilenico</t>
  </si>
  <si>
    <t>Modello</t>
  </si>
  <si>
    <t>N° piastre</t>
  </si>
  <si>
    <t>A piastra (mq)</t>
  </si>
  <si>
    <t>A scambio (mq)</t>
  </si>
  <si>
    <t>KA (W/K)</t>
  </si>
  <si>
    <t>KA (W/°C)</t>
  </si>
  <si>
    <t>Selezionare il modello di scambiatore a piastre</t>
  </si>
  <si>
    <t>fp (resa)</t>
  </si>
  <si>
    <t>f2 (pcarico)</t>
  </si>
  <si>
    <t>Perdita di carico (bar - mH2O)</t>
  </si>
  <si>
    <t>Temperatura media (°C)</t>
  </si>
  <si>
    <t>Dati scambiatore a piastre Emmeti</t>
  </si>
  <si>
    <t>Efficienza = Preale / Pmax teorica (controcorrente)</t>
  </si>
  <si>
    <t>INFORMATIVA SOFTWARE</t>
  </si>
  <si>
    <t>Il programma software è stato verificato con la massima cura</t>
  </si>
  <si>
    <t>da parte di Emmeti ai fini della correttezza dei risultati. Tuttavia</t>
  </si>
  <si>
    <t xml:space="preserve">la responsabilità finale ed il giudizio del metodo di calcolo </t>
  </si>
  <si>
    <t>proposto e dei risultati ottenuti sono a carico dell'utilizzatore.</t>
  </si>
  <si>
    <t>L'utente accetta che un prodotto software può essere viziato da</t>
  </si>
  <si>
    <t>errori e riconosce di essere stato specificatamente avvisato.</t>
  </si>
  <si>
    <t xml:space="preserve">Emmeti non sarà responsabile per danni di qualsiasi tipo </t>
  </si>
  <si>
    <t>derivanti o comunque correlati all'utilizzo del software.</t>
  </si>
  <si>
    <t>Emmeti si riserva la facoltà di apportare modifiche in qualsiasi</t>
  </si>
  <si>
    <t>istante e senza preavviso.</t>
  </si>
  <si>
    <t>M 3/4"</t>
  </si>
  <si>
    <t>M 1"</t>
  </si>
  <si>
    <t>M 1/2"</t>
  </si>
  <si>
    <t>Corr.</t>
  </si>
  <si>
    <t>N° piastre nom</t>
  </si>
  <si>
    <t>Att. Primario</t>
  </si>
  <si>
    <t>Att. Secondario</t>
  </si>
  <si>
    <t>A (mm)</t>
  </si>
  <si>
    <t>B (mm)</t>
  </si>
  <si>
    <t>H (mm)</t>
  </si>
  <si>
    <t>a (mm)</t>
  </si>
  <si>
    <t>b (mm)</t>
  </si>
  <si>
    <t>Peso (kg)</t>
  </si>
  <si>
    <r>
      <t xml:space="preserve">Kv </t>
    </r>
    <r>
      <rPr>
        <b/>
        <sz val="8"/>
        <rFont val="Arial"/>
        <family val="2"/>
      </rPr>
      <t>(tH2O= 15°C)</t>
    </r>
  </si>
  <si>
    <r>
      <t>Kv corr</t>
    </r>
    <r>
      <rPr>
        <b/>
        <sz val="8"/>
        <rFont val="Arial"/>
        <family val="2"/>
      </rPr>
      <t xml:space="preserve"> (tH2O=80 °C)</t>
    </r>
  </si>
  <si>
    <t>Port. min (kg/h)</t>
  </si>
  <si>
    <t>Port. max (kg/h)</t>
  </si>
  <si>
    <t>SPE207 10</t>
  </si>
  <si>
    <t>SPE207 12</t>
  </si>
  <si>
    <t>SPE207 14</t>
  </si>
  <si>
    <t>SPE207 16</t>
  </si>
  <si>
    <t>SPE207 20</t>
  </si>
  <si>
    <t>SPE207 24</t>
  </si>
  <si>
    <t>SPE315 20</t>
  </si>
  <si>
    <t>SPE315 24</t>
  </si>
  <si>
    <t>SPE315 30</t>
  </si>
  <si>
    <t>SPE315 34</t>
  </si>
  <si>
    <t>SPE315 40</t>
  </si>
  <si>
    <t>SPE500 20</t>
  </si>
  <si>
    <t>SPE500 30</t>
  </si>
  <si>
    <t>SPE500 40</t>
  </si>
  <si>
    <t>SPE500 50</t>
  </si>
  <si>
    <t>SPE500 60</t>
  </si>
  <si>
    <t>SPE500 80</t>
  </si>
  <si>
    <t>A (mq)</t>
  </si>
  <si>
    <t>Step (mq)</t>
  </si>
  <si>
    <t>KAx (W/°C)</t>
  </si>
  <si>
    <t>NTU = UsAs/Cmin (KA/Cmin)</t>
  </si>
  <si>
    <t>NTUx= KAx/Cmin</t>
  </si>
  <si>
    <t>Efficienza</t>
  </si>
  <si>
    <t>P reale (W)</t>
  </si>
  <si>
    <t>P reale (kcal/h)</t>
  </si>
  <si>
    <t>Primario</t>
  </si>
  <si>
    <t>t uscita (°C)</t>
  </si>
  <si>
    <t>Secondario</t>
  </si>
  <si>
    <t>Dt p-s (°C)</t>
  </si>
  <si>
    <t>Delta 1 (°C)</t>
  </si>
  <si>
    <t>"-KAxM</t>
  </si>
  <si>
    <t>"-NTU(1+Cmin/Cmax)</t>
  </si>
  <si>
    <t>M (°C/W)</t>
  </si>
  <si>
    <t>"-NTU(1-Cmin/Cmax)</t>
  </si>
  <si>
    <t>rif. H2O</t>
  </si>
  <si>
    <t>GCP 16</t>
  </si>
  <si>
    <t>GCP 26</t>
  </si>
  <si>
    <t>Us piastra min (W/mq°C)</t>
  </si>
  <si>
    <t>Us piastra max (W/mq°C)</t>
  </si>
  <si>
    <t>Portata prim (kg/h)</t>
  </si>
  <si>
    <t>Portata sec (kg/h)</t>
  </si>
  <si>
    <t>Portata media (kg/h)</t>
  </si>
  <si>
    <t>KA max (W/K)</t>
  </si>
  <si>
    <t>Diff Portata (kg/h)</t>
  </si>
  <si>
    <t xml:space="preserve">Diff Us piastra (W/mq°C) </t>
  </si>
  <si>
    <t>Us piastra (W/mq°C)</t>
  </si>
  <si>
    <t>t primario (°C)</t>
  </si>
  <si>
    <t>t secondario (°C)</t>
  </si>
  <si>
    <t>A rel</t>
  </si>
  <si>
    <t>Indice moltiplicatore "-KAxM / "-NTU(1-Cmin/Cmax) in controcorrente</t>
  </si>
  <si>
    <t>Temperatura di uscita fluido primario (°C) =</t>
  </si>
  <si>
    <t>Temperatura di uscita fluido secondario (°C) =</t>
  </si>
  <si>
    <t>Temperatura di ingresso fluido primario (°C) =</t>
  </si>
  <si>
    <t>Temperatura di ingresso fluido secondario (°C) =</t>
  </si>
  <si>
    <t>Indice moltiplicatore "t primario &gt; t secondario"</t>
  </si>
  <si>
    <t>SPE207 30</t>
  </si>
  <si>
    <t>SPE207 34</t>
  </si>
  <si>
    <t>SPE207 40</t>
  </si>
  <si>
    <t>Portata fluido termovettore (kg/h) =</t>
  </si>
  <si>
    <t>Potenza reale (W) - (kcal/h) =</t>
  </si>
  <si>
    <t>Dati INPUT</t>
  </si>
  <si>
    <r>
      <t>Fattore di sporcamento lato primario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 W)</t>
    </r>
  </si>
  <si>
    <r>
      <t>Fattore di sporcamento lato secondario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 W)</t>
    </r>
  </si>
  <si>
    <r>
      <t>Fattore di sporcamento lato secondario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 W) =</t>
    </r>
  </si>
  <si>
    <r>
      <t>Fattore di sporcamento lato primario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 W) =</t>
    </r>
  </si>
  <si>
    <t>Portata fluido termovettore (kg/min)</t>
  </si>
  <si>
    <t>Portata fluido termovettore (kg/min) =</t>
  </si>
  <si>
    <t>D foro P (mm)</t>
  </si>
  <si>
    <t>D foro S (mm)</t>
  </si>
  <si>
    <t>Attacchi</t>
  </si>
  <si>
    <t>Velocità nell'attacco (m/s)</t>
  </si>
  <si>
    <t>densità (kg/litro) a 4°C</t>
  </si>
  <si>
    <t>Densità fluido termovettore (kg/litro)</t>
  </si>
  <si>
    <t>SSHWR 40</t>
  </si>
  <si>
    <t>SSHNR 40</t>
  </si>
  <si>
    <t>°C</t>
  </si>
  <si>
    <t>kg/h</t>
  </si>
  <si>
    <t>"30-03-2010"</t>
  </si>
  <si>
    <t>E2000038C SOFTWARE SCAMBIATORE A PIASTRE 8P</t>
  </si>
  <si>
    <t>N° DOCCE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</si>
</sst>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€ &quot;\ #,##0;\-&quot;€ &quot;\ #,##0"/>
    <numFmt numFmtId="185" formatCode="&quot;€ &quot;\ #,##0;[Red]\-&quot;€ &quot;\ #,##0"/>
    <numFmt numFmtId="186" formatCode="&quot;€ &quot;\ #,##0.00;\-&quot;€ &quot;\ #,##0.00"/>
    <numFmt numFmtId="187" formatCode="&quot;€ &quot;\ #,##0.00;[Red]\-&quot;€ &quot;\ #,##0.00"/>
    <numFmt numFmtId="188" formatCode="_-&quot;€ &quot;\ * #,##0_-;\-&quot;€ &quot;\ * #,##0_-;_-&quot;€ &quot;\ * &quot;-&quot;_-;_-@_-"/>
    <numFmt numFmtId="189" formatCode="_-&quot;€ &quot;\ * #,##0.00_-;\-&quot;€ &quot;\ * #,##0.00_-;_-&quot;€ &quot;\ * &quot;-&quot;??_-;_-@_-"/>
    <numFmt numFmtId="190" formatCode="mm\:ss.0"/>
    <numFmt numFmtId="191" formatCode="h\,m\,s"/>
    <numFmt numFmtId="192" formatCode="h\,mm\,ss"/>
    <numFmt numFmtId="193" formatCode="00000"/>
    <numFmt numFmtId="194" formatCode="#,##0.000"/>
    <numFmt numFmtId="195" formatCode="0.000"/>
    <numFmt numFmtId="196" formatCode="#,##0.0"/>
    <numFmt numFmtId="197" formatCode="0.0000"/>
    <numFmt numFmtId="198" formatCode="0.0"/>
    <numFmt numFmtId="199" formatCode="#,##0.0000000"/>
    <numFmt numFmtId="200" formatCode="#,##0.00000000"/>
    <numFmt numFmtId="201" formatCode="0.00000000"/>
    <numFmt numFmtId="202" formatCode="0.0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color indexed="10"/>
      <name val="Arial"/>
      <family val="0"/>
    </font>
    <font>
      <b/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31">
    <xf numFmtId="0" fontId="0" fillId="0" borderId="0" xfId="0" applyAlignment="1">
      <alignment/>
    </xf>
    <xf numFmtId="3" fontId="0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 quotePrefix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 quotePrefix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/>
      <protection hidden="1"/>
    </xf>
    <xf numFmtId="0" fontId="0" fillId="36" borderId="13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1" fillId="0" borderId="17" xfId="0" applyNumberFormat="1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37" borderId="19" xfId="0" applyFont="1" applyFill="1" applyBorder="1" applyAlignment="1" applyProtection="1">
      <alignment/>
      <protection hidden="1"/>
    </xf>
    <xf numFmtId="3" fontId="1" fillId="34" borderId="10" xfId="0" applyNumberFormat="1" applyFont="1" applyFill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21" xfId="0" applyNumberFormat="1" applyBorder="1" applyAlignment="1" applyProtection="1">
      <alignment/>
      <protection hidden="1"/>
    </xf>
    <xf numFmtId="0" fontId="0" fillId="0" borderId="0" xfId="50" applyFont="1" applyAlignment="1" applyProtection="1">
      <alignment horizontal="center"/>
      <protection hidden="1"/>
    </xf>
    <xf numFmtId="2" fontId="0" fillId="0" borderId="0" xfId="5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195" fontId="0" fillId="34" borderId="10" xfId="0" applyNumberFormat="1" applyFill="1" applyBorder="1" applyAlignment="1" applyProtection="1">
      <alignment/>
      <protection hidden="1"/>
    </xf>
    <xf numFmtId="195" fontId="1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195" fontId="0" fillId="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3" fontId="1" fillId="0" borderId="17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16" xfId="0" applyNumberForma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" fontId="0" fillId="0" borderId="25" xfId="0" applyNumberFormat="1" applyFill="1" applyBorder="1" applyAlignment="1" applyProtection="1">
      <alignment/>
      <protection hidden="1"/>
    </xf>
    <xf numFmtId="3" fontId="0" fillId="0" borderId="18" xfId="0" applyNumberForma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" fontId="0" fillId="34" borderId="22" xfId="0" applyNumberFormat="1" applyFont="1" applyFill="1" applyBorder="1" applyAlignment="1" applyProtection="1">
      <alignment horizontal="right" vertical="center"/>
      <protection hidden="1"/>
    </xf>
    <xf numFmtId="3" fontId="1" fillId="38" borderId="26" xfId="0" applyNumberFormat="1" applyFont="1" applyFill="1" applyBorder="1" applyAlignment="1" applyProtection="1">
      <alignment/>
      <protection hidden="1" locked="0"/>
    </xf>
    <xf numFmtId="1" fontId="1" fillId="38" borderId="26" xfId="0" applyNumberFormat="1" applyFont="1" applyFill="1" applyBorder="1" applyAlignment="1" applyProtection="1">
      <alignment/>
      <protection hidden="1" locked="0"/>
    </xf>
    <xf numFmtId="0" fontId="0" fillId="37" borderId="19" xfId="0" applyFont="1" applyFill="1" applyBorder="1" applyAlignment="1" applyProtection="1">
      <alignment/>
      <protection hidden="1"/>
    </xf>
    <xf numFmtId="0" fontId="0" fillId="39" borderId="19" xfId="0" applyFont="1" applyFill="1" applyBorder="1" applyAlignment="1" applyProtection="1">
      <alignment/>
      <protection hidden="1"/>
    </xf>
    <xf numFmtId="0" fontId="1" fillId="40" borderId="23" xfId="0" applyFont="1" applyFill="1" applyBorder="1" applyAlignment="1" applyProtection="1">
      <alignment/>
      <protection hidden="1"/>
    </xf>
    <xf numFmtId="0" fontId="1" fillId="41" borderId="23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3" fontId="1" fillId="34" borderId="10" xfId="0" applyNumberFormat="1" applyFont="1" applyFill="1" applyBorder="1" applyAlignment="1" applyProtection="1">
      <alignment/>
      <protection hidden="1"/>
    </xf>
    <xf numFmtId="2" fontId="0" fillId="34" borderId="10" xfId="0" applyNumberFormat="1" applyFont="1" applyFill="1" applyBorder="1" applyAlignment="1" applyProtection="1">
      <alignment/>
      <protection hidden="1"/>
    </xf>
    <xf numFmtId="0" fontId="1" fillId="42" borderId="10" xfId="0" applyFont="1" applyFill="1" applyBorder="1" applyAlignment="1" applyProtection="1">
      <alignment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195" fontId="1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97" fontId="0" fillId="0" borderId="0" xfId="0" applyNumberFormat="1" applyAlignment="1" applyProtection="1">
      <alignment horizontal="center"/>
      <protection hidden="1"/>
    </xf>
    <xf numFmtId="195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0" fillId="0" borderId="0" xfId="0" applyAlignment="1">
      <alignment horizontal="fill"/>
    </xf>
    <xf numFmtId="0" fontId="1" fillId="38" borderId="26" xfId="0" applyFont="1" applyFill="1" applyBorder="1" applyAlignment="1" applyProtection="1">
      <alignment horizontal="right"/>
      <protection hidden="1" locked="0"/>
    </xf>
    <xf numFmtId="195" fontId="1" fillId="34" borderId="27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0" fontId="1" fillId="43" borderId="22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 horizontal="left" vertical="center"/>
      <protection hidden="1"/>
    </xf>
    <xf numFmtId="0" fontId="1" fillId="44" borderId="22" xfId="0" applyFont="1" applyFill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97" fontId="0" fillId="0" borderId="10" xfId="0" applyNumberFormat="1" applyBorder="1" applyAlignment="1" applyProtection="1">
      <alignment horizontal="center"/>
      <protection hidden="1"/>
    </xf>
    <xf numFmtId="195" fontId="0" fillId="0" borderId="10" xfId="0" applyNumberForma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9" fillId="45" borderId="10" xfId="0" applyFont="1" applyFill="1" applyBorder="1" applyAlignment="1" applyProtection="1">
      <alignment horizontal="center"/>
      <protection hidden="1"/>
    </xf>
    <xf numFmtId="0" fontId="5" fillId="36" borderId="10" xfId="0" applyFont="1" applyFill="1" applyBorder="1" applyAlignment="1" applyProtection="1">
      <alignment horizontal="center"/>
      <protection hidden="1"/>
    </xf>
    <xf numFmtId="198" fontId="0" fillId="34" borderId="10" xfId="0" applyNumberFormat="1" applyFont="1" applyFill="1" applyBorder="1" applyAlignment="1" applyProtection="1">
      <alignment horizontal="center"/>
      <protection hidden="1"/>
    </xf>
    <xf numFmtId="198" fontId="0" fillId="45" borderId="10" xfId="0" applyNumberFormat="1" applyFont="1" applyFill="1" applyBorder="1" applyAlignment="1" applyProtection="1">
      <alignment horizontal="center"/>
      <protection hidden="1"/>
    </xf>
    <xf numFmtId="198" fontId="0" fillId="36" borderId="10" xfId="0" applyNumberFormat="1" applyFont="1" applyFill="1" applyBorder="1" applyAlignment="1" applyProtection="1">
      <alignment horizontal="center"/>
      <protection hidden="1"/>
    </xf>
    <xf numFmtId="194" fontId="0" fillId="34" borderId="10" xfId="0" applyNumberFormat="1" applyFont="1" applyFill="1" applyBorder="1" applyAlignment="1" applyProtection="1">
      <alignment horizontal="center"/>
      <protection hidden="1"/>
    </xf>
    <xf numFmtId="194" fontId="0" fillId="45" borderId="10" xfId="0" applyNumberFormat="1" applyFont="1" applyFill="1" applyBorder="1" applyAlignment="1" applyProtection="1">
      <alignment horizontal="center"/>
      <protection hidden="1"/>
    </xf>
    <xf numFmtId="194" fontId="0" fillId="36" borderId="10" xfId="0" applyNumberFormat="1" applyFont="1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198" fontId="0" fillId="0" borderId="10" xfId="0" applyNumberFormat="1" applyBorder="1" applyAlignment="1" applyProtection="1">
      <alignment horizontal="center"/>
      <protection hidden="1"/>
    </xf>
    <xf numFmtId="4" fontId="1" fillId="34" borderId="10" xfId="0" applyNumberFormat="1" applyFont="1" applyFill="1" applyBorder="1" applyAlignment="1" applyProtection="1">
      <alignment/>
      <protection hidden="1"/>
    </xf>
    <xf numFmtId="4" fontId="1" fillId="42" borderId="10" xfId="0" applyNumberFormat="1" applyFont="1" applyFill="1" applyBorder="1" applyAlignment="1" applyProtection="1">
      <alignment/>
      <protection hidden="1"/>
    </xf>
    <xf numFmtId="4" fontId="1" fillId="43" borderId="25" xfId="0" applyNumberFormat="1" applyFont="1" applyFill="1" applyBorder="1" applyAlignment="1" applyProtection="1">
      <alignment/>
      <protection hidden="1"/>
    </xf>
    <xf numFmtId="4" fontId="1" fillId="46" borderId="10" xfId="0" applyNumberFormat="1" applyFont="1" applyFill="1" applyBorder="1" applyAlignment="1" applyProtection="1">
      <alignment/>
      <protection hidden="1"/>
    </xf>
    <xf numFmtId="4" fontId="1" fillId="47" borderId="10" xfId="0" applyNumberFormat="1" applyFont="1" applyFill="1" applyBorder="1" applyAlignment="1" applyProtection="1">
      <alignment/>
      <protection hidden="1"/>
    </xf>
    <xf numFmtId="0" fontId="1" fillId="42" borderId="11" xfId="0" applyFont="1" applyFill="1" applyBorder="1" applyAlignment="1" applyProtection="1">
      <alignment/>
      <protection hidden="1"/>
    </xf>
    <xf numFmtId="0" fontId="1" fillId="47" borderId="11" xfId="0" applyFont="1" applyFill="1" applyBorder="1" applyAlignment="1" applyProtection="1">
      <alignment/>
      <protection hidden="1"/>
    </xf>
    <xf numFmtId="0" fontId="1" fillId="42" borderId="24" xfId="0" applyFont="1" applyFill="1" applyBorder="1" applyAlignment="1" applyProtection="1">
      <alignment/>
      <protection hidden="1"/>
    </xf>
    <xf numFmtId="0" fontId="1" fillId="47" borderId="24" xfId="0" applyFont="1" applyFill="1" applyBorder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194" fontId="1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94" fontId="1" fillId="0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7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22" xfId="0" applyBorder="1" applyAlignment="1">
      <alignment/>
    </xf>
    <xf numFmtId="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5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40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41" borderId="23" xfId="0" applyFont="1" applyFill="1" applyBorder="1" applyAlignment="1">
      <alignment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0" fontId="0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center"/>
    </xf>
    <xf numFmtId="0" fontId="0" fillId="38" borderId="10" xfId="0" applyFill="1" applyBorder="1" applyAlignment="1">
      <alignment horizontal="center"/>
    </xf>
    <xf numFmtId="4" fontId="1" fillId="42" borderId="10" xfId="0" applyNumberFormat="1" applyFont="1" applyFill="1" applyBorder="1" applyAlignment="1">
      <alignment/>
    </xf>
    <xf numFmtId="4" fontId="1" fillId="46" borderId="10" xfId="0" applyNumberFormat="1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4" fontId="1" fillId="43" borderId="25" xfId="0" applyNumberFormat="1" applyFont="1" applyFill="1" applyBorder="1" applyAlignment="1">
      <alignment/>
    </xf>
    <xf numFmtId="3" fontId="0" fillId="40" borderId="14" xfId="0" applyNumberFormat="1" applyFont="1" applyFill="1" applyBorder="1" applyAlignment="1">
      <alignment/>
    </xf>
    <xf numFmtId="3" fontId="0" fillId="40" borderId="20" xfId="0" applyNumberFormat="1" applyFont="1" applyFill="1" applyBorder="1" applyAlignment="1">
      <alignment/>
    </xf>
    <xf numFmtId="3" fontId="0" fillId="41" borderId="14" xfId="0" applyNumberFormat="1" applyFont="1" applyFill="1" applyBorder="1" applyAlignment="1">
      <alignment/>
    </xf>
    <xf numFmtId="3" fontId="0" fillId="41" borderId="20" xfId="0" applyNumberFormat="1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3" fontId="0" fillId="34" borderId="10" xfId="0" applyNumberFormat="1" applyFill="1" applyBorder="1" applyAlignment="1" applyProtection="1">
      <alignment horizontal="center"/>
      <protection hidden="1"/>
    </xf>
    <xf numFmtId="3" fontId="0" fillId="45" borderId="10" xfId="0" applyNumberFormat="1" applyFill="1" applyBorder="1" applyAlignment="1" applyProtection="1">
      <alignment horizontal="center"/>
      <protection hidden="1"/>
    </xf>
    <xf numFmtId="3" fontId="0" fillId="36" borderId="10" xfId="0" applyNumberFormat="1" applyFill="1" applyBorder="1" applyAlignment="1" applyProtection="1">
      <alignment horizontal="center"/>
      <protection hidden="1"/>
    </xf>
    <xf numFmtId="3" fontId="9" fillId="0" borderId="10" xfId="0" applyNumberFormat="1" applyFont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" fillId="38" borderId="26" xfId="0" applyFont="1" applyFill="1" applyBorder="1" applyAlignment="1" applyProtection="1">
      <alignment horizontal="left" vertical="center"/>
      <protection hidden="1" locked="0"/>
    </xf>
    <xf numFmtId="0" fontId="1" fillId="38" borderId="26" xfId="0" applyFont="1" applyFill="1" applyBorder="1" applyAlignment="1" applyProtection="1">
      <alignment/>
      <protection hidden="1" locked="0"/>
    </xf>
    <xf numFmtId="0" fontId="1" fillId="38" borderId="26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5" fillId="37" borderId="10" xfId="0" applyFont="1" applyFill="1" applyBorder="1" applyAlignment="1" applyProtection="1">
      <alignment horizontal="center"/>
      <protection hidden="1"/>
    </xf>
    <xf numFmtId="197" fontId="0" fillId="40" borderId="10" xfId="0" applyNumberFormat="1" applyFont="1" applyFill="1" applyBorder="1" applyAlignment="1" applyProtection="1">
      <alignment horizontal="center"/>
      <protection hidden="1"/>
    </xf>
    <xf numFmtId="202" fontId="1" fillId="38" borderId="26" xfId="0" applyNumberFormat="1" applyFont="1" applyFill="1" applyBorder="1" applyAlignment="1" applyProtection="1">
      <alignment/>
      <protection hidden="1" locked="0"/>
    </xf>
    <xf numFmtId="202" fontId="1" fillId="0" borderId="10" xfId="0" applyNumberFormat="1" applyFont="1" applyFill="1" applyBorder="1" applyAlignment="1" applyProtection="1">
      <alignment/>
      <protection hidden="1"/>
    </xf>
    <xf numFmtId="202" fontId="0" fillId="0" borderId="10" xfId="0" applyNumberFormat="1" applyFont="1" applyBorder="1" applyAlignment="1">
      <alignment/>
    </xf>
    <xf numFmtId="0" fontId="0" fillId="34" borderId="19" xfId="0" applyFont="1" applyFill="1" applyBorder="1" applyAlignment="1" applyProtection="1">
      <alignment/>
      <protection hidden="1"/>
    </xf>
    <xf numFmtId="196" fontId="0" fillId="0" borderId="10" xfId="0" applyNumberFormat="1" applyFont="1" applyFill="1" applyBorder="1" applyAlignment="1" applyProtection="1">
      <alignment/>
      <protection hidden="1"/>
    </xf>
    <xf numFmtId="198" fontId="1" fillId="34" borderId="27" xfId="0" applyNumberFormat="1" applyFont="1" applyFill="1" applyBorder="1" applyAlignment="1" applyProtection="1">
      <alignment/>
      <protection hidden="1"/>
    </xf>
    <xf numFmtId="0" fontId="0" fillId="39" borderId="30" xfId="0" applyFont="1" applyFill="1" applyBorder="1" applyAlignment="1" applyProtection="1">
      <alignment/>
      <protection hidden="1"/>
    </xf>
    <xf numFmtId="194" fontId="1" fillId="34" borderId="10" xfId="0" applyNumberFormat="1" applyFont="1" applyFill="1" applyBorder="1" applyAlignment="1" applyProtection="1">
      <alignment horizontal="center"/>
      <protection hidden="1"/>
    </xf>
    <xf numFmtId="195" fontId="0" fillId="0" borderId="0" xfId="0" applyNumberFormat="1" applyFont="1" applyAlignment="1" applyProtection="1">
      <alignment horizontal="center"/>
      <protection hidden="1"/>
    </xf>
    <xf numFmtId="195" fontId="1" fillId="0" borderId="0" xfId="0" applyNumberFormat="1" applyFont="1" applyAlignment="1" applyProtection="1">
      <alignment horizontal="center"/>
      <protection hidden="1"/>
    </xf>
    <xf numFmtId="195" fontId="0" fillId="0" borderId="10" xfId="0" applyNumberFormat="1" applyFont="1" applyFill="1" applyBorder="1" applyAlignment="1" applyProtection="1">
      <alignment/>
      <protection hidden="1"/>
    </xf>
    <xf numFmtId="194" fontId="0" fillId="0" borderId="10" xfId="0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Font="1" applyFill="1" applyBorder="1" applyAlignment="1" applyProtection="1">
      <alignment horizontal="right"/>
      <protection hidden="1"/>
    </xf>
    <xf numFmtId="195" fontId="1" fillId="34" borderId="10" xfId="0" applyNumberFormat="1" applyFont="1" applyFill="1" applyBorder="1" applyAlignment="1" applyProtection="1">
      <alignment/>
      <protection hidden="1"/>
    </xf>
    <xf numFmtId="2" fontId="1" fillId="34" borderId="10" xfId="0" applyNumberFormat="1" applyFont="1" applyFill="1" applyBorder="1" applyAlignment="1" applyProtection="1">
      <alignment/>
      <protection hidden="1"/>
    </xf>
    <xf numFmtId="198" fontId="1" fillId="34" borderId="22" xfId="0" applyNumberFormat="1" applyFont="1" applyFill="1" applyBorder="1" applyAlignment="1" applyProtection="1">
      <alignment horizontal="right"/>
      <protection hidden="1"/>
    </xf>
    <xf numFmtId="4" fontId="0" fillId="44" borderId="10" xfId="0" applyNumberFormat="1" applyFill="1" applyBorder="1" applyAlignment="1" applyProtection="1">
      <alignment horizontal="center"/>
      <protection hidden="1"/>
    </xf>
    <xf numFmtId="4" fontId="1" fillId="47" borderId="11" xfId="0" applyNumberFormat="1" applyFont="1" applyFill="1" applyBorder="1" applyAlignment="1" applyProtection="1">
      <alignment horizontal="center"/>
      <protection hidden="1"/>
    </xf>
    <xf numFmtId="4" fontId="0" fillId="43" borderId="10" xfId="0" applyNumberFormat="1" applyFill="1" applyBorder="1" applyAlignment="1" applyProtection="1">
      <alignment horizontal="center"/>
      <protection hidden="1"/>
    </xf>
    <xf numFmtId="3" fontId="1" fillId="44" borderId="10" xfId="0" applyNumberFormat="1" applyFont="1" applyFill="1" applyBorder="1" applyAlignment="1" applyProtection="1">
      <alignment horizontal="center"/>
      <protection hidden="1"/>
    </xf>
    <xf numFmtId="3" fontId="1" fillId="43" borderId="10" xfId="0" applyNumberFormat="1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4" fontId="1" fillId="42" borderId="10" xfId="0" applyNumberFormat="1" applyFont="1" applyFill="1" applyBorder="1" applyAlignment="1" applyProtection="1">
      <alignment horizontal="center"/>
      <protection hidden="1"/>
    </xf>
    <xf numFmtId="4" fontId="1" fillId="47" borderId="10" xfId="0" applyNumberFormat="1" applyFont="1" applyFill="1" applyBorder="1" applyAlignment="1" applyProtection="1">
      <alignment horizontal="center"/>
      <protection hidden="1"/>
    </xf>
    <xf numFmtId="3" fontId="1" fillId="41" borderId="10" xfId="0" applyNumberFormat="1" applyFont="1" applyFill="1" applyBorder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1" fillId="42" borderId="27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3" borderId="27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e_Carta F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Diagramma temperature fluidi in CONTROCORRENTE</a:t>
            </a:r>
          </a:p>
        </c:rich>
      </c:tx>
      <c:layout>
        <c:manualLayout>
          <c:xMode val="factor"/>
          <c:yMode val="factor"/>
          <c:x val="-0.153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85"/>
          <c:w val="0.619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'Tabelle Grafici'!$N$61</c:f>
              <c:strCache>
                <c:ptCount val="1"/>
                <c:pt idx="0">
                  <c:v>t primario (°C)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 Grafici'!$C$62:$C$72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30.000000000000004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'Tabelle Grafici'!$N$62:$N$72</c:f>
              <c:numCache>
                <c:ptCount val="11"/>
                <c:pt idx="0">
                  <c:v>60</c:v>
                </c:pt>
                <c:pt idx="1">
                  <c:v>50.37664111812869</c:v>
                </c:pt>
                <c:pt idx="2">
                  <c:v>44.25573000164159</c:v>
                </c:pt>
                <c:pt idx="3">
                  <c:v>40.01958380965262</c:v>
                </c:pt>
                <c:pt idx="4">
                  <c:v>36.913824322002256</c:v>
                </c:pt>
                <c:pt idx="5">
                  <c:v>34.539271032065244</c:v>
                </c:pt>
                <c:pt idx="6">
                  <c:v>32.6649025435205</c:v>
                </c:pt>
                <c:pt idx="7">
                  <c:v>31.147744981530575</c:v>
                </c:pt>
                <c:pt idx="8">
                  <c:v>29.89457482612841</c:v>
                </c:pt>
                <c:pt idx="9">
                  <c:v>28.842011292824782</c:v>
                </c:pt>
                <c:pt idx="10">
                  <c:v>27.945459622264423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Grafici'!$P$61</c:f>
              <c:strCache>
                <c:ptCount val="1"/>
                <c:pt idx="0">
                  <c:v>t secondario (°C)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 Grafici'!$C$62:$C$72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30.000000000000004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'Tabelle Grafici'!$P$62:$P$72</c:f>
              <c:numCache>
                <c:ptCount val="11"/>
                <c:pt idx="0">
                  <c:v>48.669885893202746</c:v>
                </c:pt>
                <c:pt idx="1">
                  <c:v>39.08559306612311</c:v>
                </c:pt>
                <c:pt idx="2">
                  <c:v>33.003613305286734</c:v>
                </c:pt>
                <c:pt idx="3">
                  <c:v>28.80626423424807</c:v>
                </c:pt>
                <c:pt idx="4">
                  <c:v>25.7391680956867</c:v>
                </c:pt>
                <c:pt idx="5">
                  <c:v>23.40314484422066</c:v>
                </c:pt>
                <c:pt idx="6">
                  <c:v>21.56717354318176</c:v>
                </c:pt>
                <c:pt idx="7">
                  <c:v>20.08828077580059</c:v>
                </c:pt>
                <c:pt idx="8">
                  <c:v>18.873243478598717</c:v>
                </c:pt>
                <c:pt idx="9">
                  <c:v>17.858681322001566</c:v>
                </c:pt>
                <c:pt idx="10">
                  <c:v>16.999999999999993</c:v>
                </c:pt>
              </c:numCache>
            </c:numRef>
          </c:yVal>
          <c:smooth val="1"/>
        </c:ser>
        <c:axId val="38657120"/>
        <c:axId val="12369761"/>
      </c:scatterChart>
      <c:valAx>
        <c:axId val="386571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di scambio (%)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 val="autoZero"/>
        <c:crossBetween val="midCat"/>
        <c:dispUnits/>
      </c:valAx>
      <c:valAx>
        <c:axId val="1236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575"/>
          <c:y val="0.1355"/>
          <c:w val="0.152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Diagramma temperature fluidi in EQUICORRENTE</a:t>
            </a:r>
          </a:p>
        </c:rich>
      </c:tx>
      <c:layout>
        <c:manualLayout>
          <c:xMode val="factor"/>
          <c:yMode val="factor"/>
          <c:x val="-0.15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2"/>
          <c:w val="0.621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'Tabelle Grafici'!$U$61</c:f>
              <c:strCache>
                <c:ptCount val="1"/>
                <c:pt idx="0">
                  <c:v>t primario (°C)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 Grafici'!$C$62:$C$72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30.000000000000004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'Tabelle Grafici'!$U$62:$U$72</c:f>
              <c:numCache>
                <c:ptCount val="11"/>
                <c:pt idx="0">
                  <c:v>60</c:v>
                </c:pt>
                <c:pt idx="1">
                  <c:v>50.5754923749121</c:v>
                </c:pt>
                <c:pt idx="2">
                  <c:v>45.25742269919573</c:v>
                </c:pt>
                <c:pt idx="3">
                  <c:v>42.25653753884124</c:v>
                </c:pt>
                <c:pt idx="4">
                  <c:v>40.56319534989696</c:v>
                </c:pt>
                <c:pt idx="5">
                  <c:v>39.60767468994611</c:v>
                </c:pt>
                <c:pt idx="6">
                  <c:v>39.068492628840005</c:v>
                </c:pt>
                <c:pt idx="7">
                  <c:v>38.7642424883631</c:v>
                </c:pt>
                <c:pt idx="8">
                  <c:v>38.59255994426971</c:v>
                </c:pt>
                <c:pt idx="9">
                  <c:v>38.49568276321015</c:v>
                </c:pt>
                <c:pt idx="10">
                  <c:v>38.441016819973996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'Tabelle Grafici'!$Y$61</c:f>
              <c:strCache>
                <c:ptCount val="1"/>
                <c:pt idx="0">
                  <c:v>t secondario (°C)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 Grafici'!$C$62:$C$72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30.000000000000004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'Tabelle Grafici'!$Y$62:$Y$72</c:f>
              <c:numCache>
                <c:ptCount val="11"/>
                <c:pt idx="0">
                  <c:v>17</c:v>
                </c:pt>
                <c:pt idx="1">
                  <c:v>26.311413533586844</c:v>
                </c:pt>
                <c:pt idx="2">
                  <c:v>31.565666373194617</c:v>
                </c:pt>
                <c:pt idx="3">
                  <c:v>34.530540911624854</c:v>
                </c:pt>
                <c:pt idx="4">
                  <c:v>36.203562994301805</c:v>
                </c:pt>
                <c:pt idx="5">
                  <c:v>37.14761740633324</c:v>
                </c:pt>
                <c:pt idx="6">
                  <c:v>37.680329282706076</c:v>
                </c:pt>
                <c:pt idx="7">
                  <c:v>37.980928421497254</c:v>
                </c:pt>
                <c:pt idx="8">
                  <c:v>38.150550775061525</c:v>
                </c:pt>
                <c:pt idx="9">
                  <c:v>38.24626542994837</c:v>
                </c:pt>
                <c:pt idx="10">
                  <c:v>38.300275381865696</c:v>
                </c:pt>
              </c:numCache>
            </c:numRef>
          </c:yVal>
          <c:smooth val="1"/>
        </c:ser>
        <c:axId val="44218986"/>
        <c:axId val="62426555"/>
      </c:scatterChart>
      <c:valAx>
        <c:axId val="442189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di scambio (%)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6555"/>
        <c:crosses val="autoZero"/>
        <c:crossBetween val="midCat"/>
        <c:dispUnits/>
      </c:valAx>
      <c:valAx>
        <c:axId val="6242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8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39"/>
          <c:w val="0.152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43</xdr:row>
      <xdr:rowOff>9525</xdr:rowOff>
    </xdr:from>
    <xdr:to>
      <xdr:col>7</xdr:col>
      <xdr:colOff>142875</xdr:colOff>
      <xdr:row>56</xdr:row>
      <xdr:rowOff>9525</xdr:rowOff>
    </xdr:to>
    <xdr:sp>
      <xdr:nvSpPr>
        <xdr:cNvPr id="1" name="Rettangolo 21"/>
        <xdr:cNvSpPr>
          <a:spLocks/>
        </xdr:cNvSpPr>
      </xdr:nvSpPr>
      <xdr:spPr>
        <a:xfrm>
          <a:off x="7486650" y="7277100"/>
          <a:ext cx="952500" cy="1895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27</xdr:row>
      <xdr:rowOff>238125</xdr:rowOff>
    </xdr:from>
    <xdr:to>
      <xdr:col>7</xdr:col>
      <xdr:colOff>133350</xdr:colOff>
      <xdr:row>40</xdr:row>
      <xdr:rowOff>152400</xdr:rowOff>
    </xdr:to>
    <xdr:sp>
      <xdr:nvSpPr>
        <xdr:cNvPr id="2" name="Rettangolo 2"/>
        <xdr:cNvSpPr>
          <a:spLocks/>
        </xdr:cNvSpPr>
      </xdr:nvSpPr>
      <xdr:spPr>
        <a:xfrm>
          <a:off x="7477125" y="4819650"/>
          <a:ext cx="952500" cy="1895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29</xdr:row>
      <xdr:rowOff>0</xdr:rowOff>
    </xdr:from>
    <xdr:to>
      <xdr:col>6</xdr:col>
      <xdr:colOff>190500</xdr:colOff>
      <xdr:row>30</xdr:row>
      <xdr:rowOff>85725</xdr:rowOff>
    </xdr:to>
    <xdr:sp>
      <xdr:nvSpPr>
        <xdr:cNvPr id="3" name="Ovale 1"/>
        <xdr:cNvSpPr>
          <a:spLocks/>
        </xdr:cNvSpPr>
      </xdr:nvSpPr>
      <xdr:spPr>
        <a:xfrm>
          <a:off x="7629525" y="4991100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29</xdr:row>
      <xdr:rowOff>0</xdr:rowOff>
    </xdr:from>
    <xdr:to>
      <xdr:col>7</xdr:col>
      <xdr:colOff>0</xdr:colOff>
      <xdr:row>30</xdr:row>
      <xdr:rowOff>85725</xdr:rowOff>
    </xdr:to>
    <xdr:sp>
      <xdr:nvSpPr>
        <xdr:cNvPr id="4" name="Ovale 3"/>
        <xdr:cNvSpPr>
          <a:spLocks/>
        </xdr:cNvSpPr>
      </xdr:nvSpPr>
      <xdr:spPr>
        <a:xfrm>
          <a:off x="8048625" y="4991100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38</xdr:row>
      <xdr:rowOff>76200</xdr:rowOff>
    </xdr:from>
    <xdr:to>
      <xdr:col>6</xdr:col>
      <xdr:colOff>190500</xdr:colOff>
      <xdr:row>40</xdr:row>
      <xdr:rowOff>0</xdr:rowOff>
    </xdr:to>
    <xdr:sp>
      <xdr:nvSpPr>
        <xdr:cNvPr id="5" name="Ovale 4"/>
        <xdr:cNvSpPr>
          <a:spLocks/>
        </xdr:cNvSpPr>
      </xdr:nvSpPr>
      <xdr:spPr>
        <a:xfrm>
          <a:off x="7629525" y="6315075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38</xdr:row>
      <xdr:rowOff>76200</xdr:rowOff>
    </xdr:from>
    <xdr:to>
      <xdr:col>7</xdr:col>
      <xdr:colOff>0</xdr:colOff>
      <xdr:row>40</xdr:row>
      <xdr:rowOff>0</xdr:rowOff>
    </xdr:to>
    <xdr:sp>
      <xdr:nvSpPr>
        <xdr:cNvPr id="6" name="Ovale 5"/>
        <xdr:cNvSpPr>
          <a:spLocks/>
        </xdr:cNvSpPr>
      </xdr:nvSpPr>
      <xdr:spPr>
        <a:xfrm>
          <a:off x="8048625" y="6315075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29</xdr:row>
      <xdr:rowOff>133350</xdr:rowOff>
    </xdr:from>
    <xdr:to>
      <xdr:col>6</xdr:col>
      <xdr:colOff>95250</xdr:colOff>
      <xdr:row>29</xdr:row>
      <xdr:rowOff>133350</xdr:rowOff>
    </xdr:to>
    <xdr:sp>
      <xdr:nvSpPr>
        <xdr:cNvPr id="7" name="Connettore 2 7"/>
        <xdr:cNvSpPr>
          <a:spLocks/>
        </xdr:cNvSpPr>
      </xdr:nvSpPr>
      <xdr:spPr>
        <a:xfrm flipV="1">
          <a:off x="7258050" y="5124450"/>
          <a:ext cx="523875" cy="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133350</xdr:rowOff>
    </xdr:from>
    <xdr:to>
      <xdr:col>7</xdr:col>
      <xdr:colOff>390525</xdr:colOff>
      <xdr:row>29</xdr:row>
      <xdr:rowOff>133350</xdr:rowOff>
    </xdr:to>
    <xdr:sp>
      <xdr:nvSpPr>
        <xdr:cNvPr id="8" name="Connettore 2 10"/>
        <xdr:cNvSpPr>
          <a:spLocks/>
        </xdr:cNvSpPr>
      </xdr:nvSpPr>
      <xdr:spPr>
        <a:xfrm flipV="1">
          <a:off x="8162925" y="5124450"/>
          <a:ext cx="523875" cy="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39</xdr:row>
      <xdr:rowOff>47625</xdr:rowOff>
    </xdr:from>
    <xdr:to>
      <xdr:col>6</xdr:col>
      <xdr:colOff>66675</xdr:colOff>
      <xdr:row>39</xdr:row>
      <xdr:rowOff>47625</xdr:rowOff>
    </xdr:to>
    <xdr:sp>
      <xdr:nvSpPr>
        <xdr:cNvPr id="9" name="Connettore 2 11"/>
        <xdr:cNvSpPr>
          <a:spLocks/>
        </xdr:cNvSpPr>
      </xdr:nvSpPr>
      <xdr:spPr>
        <a:xfrm rot="10800000" flipV="1">
          <a:off x="7229475" y="6448425"/>
          <a:ext cx="523875" cy="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39</xdr:row>
      <xdr:rowOff>38100</xdr:rowOff>
    </xdr:from>
    <xdr:to>
      <xdr:col>7</xdr:col>
      <xdr:colOff>361950</xdr:colOff>
      <xdr:row>39</xdr:row>
      <xdr:rowOff>38100</xdr:rowOff>
    </xdr:to>
    <xdr:sp>
      <xdr:nvSpPr>
        <xdr:cNvPr id="10" name="Connettore 2 12"/>
        <xdr:cNvSpPr>
          <a:spLocks/>
        </xdr:cNvSpPr>
      </xdr:nvSpPr>
      <xdr:spPr>
        <a:xfrm rot="10800000" flipV="1">
          <a:off x="8134350" y="6438900"/>
          <a:ext cx="523875" cy="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44</xdr:row>
      <xdr:rowOff>9525</xdr:rowOff>
    </xdr:from>
    <xdr:to>
      <xdr:col>6</xdr:col>
      <xdr:colOff>190500</xdr:colOff>
      <xdr:row>45</xdr:row>
      <xdr:rowOff>95250</xdr:rowOff>
    </xdr:to>
    <xdr:sp>
      <xdr:nvSpPr>
        <xdr:cNvPr id="11" name="Ovale 13"/>
        <xdr:cNvSpPr>
          <a:spLocks/>
        </xdr:cNvSpPr>
      </xdr:nvSpPr>
      <xdr:spPr>
        <a:xfrm>
          <a:off x="7629525" y="7439025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44</xdr:row>
      <xdr:rowOff>9525</xdr:rowOff>
    </xdr:from>
    <xdr:to>
      <xdr:col>7</xdr:col>
      <xdr:colOff>0</xdr:colOff>
      <xdr:row>45</xdr:row>
      <xdr:rowOff>95250</xdr:rowOff>
    </xdr:to>
    <xdr:sp>
      <xdr:nvSpPr>
        <xdr:cNvPr id="12" name="Ovale 14"/>
        <xdr:cNvSpPr>
          <a:spLocks/>
        </xdr:cNvSpPr>
      </xdr:nvSpPr>
      <xdr:spPr>
        <a:xfrm>
          <a:off x="8048625" y="7439025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53</xdr:row>
      <xdr:rowOff>95250</xdr:rowOff>
    </xdr:from>
    <xdr:to>
      <xdr:col>6</xdr:col>
      <xdr:colOff>190500</xdr:colOff>
      <xdr:row>55</xdr:row>
      <xdr:rowOff>19050</xdr:rowOff>
    </xdr:to>
    <xdr:sp>
      <xdr:nvSpPr>
        <xdr:cNvPr id="13" name="Ovale 15"/>
        <xdr:cNvSpPr>
          <a:spLocks/>
        </xdr:cNvSpPr>
      </xdr:nvSpPr>
      <xdr:spPr>
        <a:xfrm>
          <a:off x="7629525" y="8763000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53</xdr:row>
      <xdr:rowOff>95250</xdr:rowOff>
    </xdr:from>
    <xdr:to>
      <xdr:col>7</xdr:col>
      <xdr:colOff>0</xdr:colOff>
      <xdr:row>55</xdr:row>
      <xdr:rowOff>19050</xdr:rowOff>
    </xdr:to>
    <xdr:sp>
      <xdr:nvSpPr>
        <xdr:cNvPr id="14" name="Ovale 16"/>
        <xdr:cNvSpPr>
          <a:spLocks/>
        </xdr:cNvSpPr>
      </xdr:nvSpPr>
      <xdr:spPr>
        <a:xfrm>
          <a:off x="8048625" y="8763000"/>
          <a:ext cx="24765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142875</xdr:rowOff>
    </xdr:from>
    <xdr:to>
      <xdr:col>6</xdr:col>
      <xdr:colOff>95250</xdr:colOff>
      <xdr:row>44</xdr:row>
      <xdr:rowOff>142875</xdr:rowOff>
    </xdr:to>
    <xdr:sp>
      <xdr:nvSpPr>
        <xdr:cNvPr id="15" name="Connettore 2 17"/>
        <xdr:cNvSpPr>
          <a:spLocks/>
        </xdr:cNvSpPr>
      </xdr:nvSpPr>
      <xdr:spPr>
        <a:xfrm flipV="1">
          <a:off x="7258050" y="7572375"/>
          <a:ext cx="523875" cy="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54</xdr:row>
      <xdr:rowOff>57150</xdr:rowOff>
    </xdr:from>
    <xdr:to>
      <xdr:col>7</xdr:col>
      <xdr:colOff>390525</xdr:colOff>
      <xdr:row>54</xdr:row>
      <xdr:rowOff>57150</xdr:rowOff>
    </xdr:to>
    <xdr:sp>
      <xdr:nvSpPr>
        <xdr:cNvPr id="16" name="Connettore 2 18"/>
        <xdr:cNvSpPr>
          <a:spLocks/>
        </xdr:cNvSpPr>
      </xdr:nvSpPr>
      <xdr:spPr>
        <a:xfrm flipV="1">
          <a:off x="8162925" y="8886825"/>
          <a:ext cx="523875" cy="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54</xdr:row>
      <xdr:rowOff>66675</xdr:rowOff>
    </xdr:from>
    <xdr:to>
      <xdr:col>6</xdr:col>
      <xdr:colOff>66675</xdr:colOff>
      <xdr:row>54</xdr:row>
      <xdr:rowOff>66675</xdr:rowOff>
    </xdr:to>
    <xdr:sp>
      <xdr:nvSpPr>
        <xdr:cNvPr id="17" name="Connettore 2 19"/>
        <xdr:cNvSpPr>
          <a:spLocks/>
        </xdr:cNvSpPr>
      </xdr:nvSpPr>
      <xdr:spPr>
        <a:xfrm rot="10800000" flipV="1">
          <a:off x="7229475" y="8896350"/>
          <a:ext cx="523875" cy="0"/>
        </a:xfrm>
        <a:prstGeom prst="straightConnector1">
          <a:avLst/>
        </a:prstGeom>
        <a:noFill/>
        <a:ln w="254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44</xdr:row>
      <xdr:rowOff>142875</xdr:rowOff>
    </xdr:from>
    <xdr:to>
      <xdr:col>7</xdr:col>
      <xdr:colOff>371475</xdr:colOff>
      <xdr:row>44</xdr:row>
      <xdr:rowOff>142875</xdr:rowOff>
    </xdr:to>
    <xdr:sp>
      <xdr:nvSpPr>
        <xdr:cNvPr id="18" name="Connettore 2 20"/>
        <xdr:cNvSpPr>
          <a:spLocks/>
        </xdr:cNvSpPr>
      </xdr:nvSpPr>
      <xdr:spPr>
        <a:xfrm rot="10800000" flipV="1">
          <a:off x="8143875" y="7572375"/>
          <a:ext cx="523875" cy="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0.544</cdr:y>
    </cdr:from>
    <cdr:to>
      <cdr:x>0.94525</cdr:x>
      <cdr:y>0.5865</cdr:y>
    </cdr:to>
    <cdr:sp textlink="'Tabelle Grafici'!$A$36">
      <cdr:nvSpPr>
        <cdr:cNvPr id="1" name="Text Box 1"/>
        <cdr:cNvSpPr txBox="1">
          <a:spLocks noChangeArrowheads="1"/>
        </cdr:cNvSpPr>
      </cdr:nvSpPr>
      <cdr:spPr>
        <a:xfrm>
          <a:off x="6200775" y="3105150"/>
          <a:ext cx="2590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a70105b-8b41-4999-9556-f4bd4c81bd16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Temperatura di ingresso fluido primario (°C) =</a:t>
          </a:fld>
        </a:p>
      </cdr:txBody>
    </cdr:sp>
  </cdr:relSizeAnchor>
  <cdr:relSizeAnchor xmlns:cdr="http://schemas.openxmlformats.org/drawingml/2006/chartDrawing">
    <cdr:from>
      <cdr:x>0.64525</cdr:x>
      <cdr:y>0.81075</cdr:y>
    </cdr:from>
    <cdr:to>
      <cdr:x>0.94475</cdr:x>
      <cdr:y>0.851</cdr:y>
    </cdr:to>
    <cdr:sp textlink="'Tabelle Grafici'!$A$41">
      <cdr:nvSpPr>
        <cdr:cNvPr id="2" name="Text Box 2"/>
        <cdr:cNvSpPr txBox="1">
          <a:spLocks noChangeArrowheads="1"/>
        </cdr:cNvSpPr>
      </cdr:nvSpPr>
      <cdr:spPr>
        <a:xfrm>
          <a:off x="6000750" y="4629150"/>
          <a:ext cx="2790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e102d27-97cd-451f-a3b4-688c4f344189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Temperatura di ingresso fluido secondario (°C) =</a:t>
          </a:fld>
        </a:p>
      </cdr:txBody>
    </cdr:sp>
  </cdr:relSizeAnchor>
  <cdr:relSizeAnchor xmlns:cdr="http://schemas.openxmlformats.org/drawingml/2006/chartDrawing">
    <cdr:from>
      <cdr:x>0.66575</cdr:x>
      <cdr:y>0.58575</cdr:y>
    </cdr:from>
    <cdr:to>
      <cdr:x>0.94425</cdr:x>
      <cdr:y>0.62675</cdr:y>
    </cdr:to>
    <cdr:sp textlink="'Tabelle Grafici'!$A$37">
      <cdr:nvSpPr>
        <cdr:cNvPr id="3" name="Text Box 3"/>
        <cdr:cNvSpPr txBox="1">
          <a:spLocks noChangeArrowheads="1"/>
        </cdr:cNvSpPr>
      </cdr:nvSpPr>
      <cdr:spPr>
        <a:xfrm>
          <a:off x="6191250" y="3343275"/>
          <a:ext cx="2590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8fc823-29b5-45af-acb5-2b27bfbe9e27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Temperatura di uscita fluido primario (°C) =</a:t>
          </a:fld>
        </a:p>
      </cdr:txBody>
    </cdr:sp>
  </cdr:relSizeAnchor>
  <cdr:relSizeAnchor xmlns:cdr="http://schemas.openxmlformats.org/drawingml/2006/chartDrawing">
    <cdr:from>
      <cdr:x>0.66575</cdr:x>
      <cdr:y>0.851</cdr:y>
    </cdr:from>
    <cdr:to>
      <cdr:x>0.945</cdr:x>
      <cdr:y>0.8915</cdr:y>
    </cdr:to>
    <cdr:sp textlink="'Tabelle Grafici'!$A$42">
      <cdr:nvSpPr>
        <cdr:cNvPr id="4" name="Text Box 4"/>
        <cdr:cNvSpPr txBox="1">
          <a:spLocks noChangeArrowheads="1"/>
        </cdr:cNvSpPr>
      </cdr:nvSpPr>
      <cdr:spPr>
        <a:xfrm>
          <a:off x="6191250" y="4857750"/>
          <a:ext cx="2600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a23b7c-72f8-497e-8ae8-91b2528b1a7e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Temperatura di uscita fluido secondario (°C) =</a:t>
          </a:fld>
        </a:p>
      </cdr:txBody>
    </cdr:sp>
  </cdr:relSizeAnchor>
  <cdr:relSizeAnchor xmlns:cdr="http://schemas.openxmlformats.org/drawingml/2006/chartDrawing">
    <cdr:from>
      <cdr:x>0.94475</cdr:x>
      <cdr:y>0.544</cdr:y>
    </cdr:from>
    <cdr:to>
      <cdr:x>0.98925</cdr:x>
      <cdr:y>0.585</cdr:y>
    </cdr:to>
    <cdr:sp textlink="'Tabelle Grafici'!$B$36">
      <cdr:nvSpPr>
        <cdr:cNvPr id="5" name="Text Box 5"/>
        <cdr:cNvSpPr txBox="1">
          <a:spLocks noChangeArrowheads="1"/>
        </cdr:cNvSpPr>
      </cdr:nvSpPr>
      <cdr:spPr>
        <a:xfrm>
          <a:off x="8791575" y="3105150"/>
          <a:ext cx="409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1b70f94-5b47-4113-9768-de986c760ad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</a:t>
          </a:fld>
        </a:p>
      </cdr:txBody>
    </cdr:sp>
  </cdr:relSizeAnchor>
  <cdr:relSizeAnchor xmlns:cdr="http://schemas.openxmlformats.org/drawingml/2006/chartDrawing">
    <cdr:from>
      <cdr:x>0.94475</cdr:x>
      <cdr:y>0.58575</cdr:y>
    </cdr:from>
    <cdr:to>
      <cdr:x>0.98925</cdr:x>
      <cdr:y>0.626</cdr:y>
    </cdr:to>
    <cdr:sp textlink="'Tabelle Grafici'!$B$37">
      <cdr:nvSpPr>
        <cdr:cNvPr id="6" name="Text Box 6"/>
        <cdr:cNvSpPr txBox="1">
          <a:spLocks noChangeArrowheads="1"/>
        </cdr:cNvSpPr>
      </cdr:nvSpPr>
      <cdr:spPr>
        <a:xfrm>
          <a:off x="8791575" y="334327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1a0b052-28cb-4db9-b53f-0245d0934a3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33,86</a:t>
          </a:fld>
        </a:p>
      </cdr:txBody>
    </cdr:sp>
  </cdr:relSizeAnchor>
  <cdr:relSizeAnchor xmlns:cdr="http://schemas.openxmlformats.org/drawingml/2006/chartDrawing">
    <cdr:from>
      <cdr:x>0.94475</cdr:x>
      <cdr:y>0.81075</cdr:y>
    </cdr:from>
    <cdr:to>
      <cdr:x>0.99</cdr:x>
      <cdr:y>0.85025</cdr:y>
    </cdr:to>
    <cdr:sp textlink="'Tabelle Grafici'!$B$41">
      <cdr:nvSpPr>
        <cdr:cNvPr id="7" name="Text Box 7"/>
        <cdr:cNvSpPr txBox="1">
          <a:spLocks noChangeArrowheads="1"/>
        </cdr:cNvSpPr>
      </cdr:nvSpPr>
      <cdr:spPr>
        <a:xfrm>
          <a:off x="8791575" y="4629150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d690195-a499-4785-be55-b4d2de2d11c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98,00</a:t>
          </a:fld>
        </a:p>
      </cdr:txBody>
    </cdr:sp>
  </cdr:relSizeAnchor>
  <cdr:relSizeAnchor xmlns:cdr="http://schemas.openxmlformats.org/drawingml/2006/chartDrawing">
    <cdr:from>
      <cdr:x>0.94475</cdr:x>
      <cdr:y>0.851</cdr:y>
    </cdr:from>
    <cdr:to>
      <cdr:x>0.99</cdr:x>
      <cdr:y>0.89075</cdr:y>
    </cdr:to>
    <cdr:sp textlink="'Tabelle Grafici'!$B$42">
      <cdr:nvSpPr>
        <cdr:cNvPr id="8" name="Text Box 8"/>
        <cdr:cNvSpPr txBox="1">
          <a:spLocks noChangeArrowheads="1"/>
        </cdr:cNvSpPr>
      </cdr:nvSpPr>
      <cdr:spPr>
        <a:xfrm>
          <a:off x="8791575" y="4857750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3d02aa0-13d3-4899-8245-4f1a098a5f4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7,72</a:t>
          </a:fld>
        </a:p>
      </cdr:txBody>
    </cdr:sp>
  </cdr:relSizeAnchor>
  <cdr:relSizeAnchor xmlns:cdr="http://schemas.openxmlformats.org/drawingml/2006/chartDrawing">
    <cdr:from>
      <cdr:x>0.0425</cdr:x>
      <cdr:y>0.924</cdr:y>
    </cdr:from>
    <cdr:to>
      <cdr:x>0.18875</cdr:x>
      <cdr:y>0.95125</cdr:y>
    </cdr:to>
    <cdr:sp>
      <cdr:nvSpPr>
        <cdr:cNvPr id="9" name="Text Box 10"/>
        <cdr:cNvSpPr txBox="1">
          <a:spLocks noChangeArrowheads="1"/>
        </cdr:cNvSpPr>
      </cdr:nvSpPr>
      <cdr:spPr>
        <a:xfrm>
          <a:off x="390525" y="5276850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Ingresso primario</a:t>
          </a:r>
        </a:p>
      </cdr:txBody>
    </cdr:sp>
  </cdr:relSizeAnchor>
  <cdr:relSizeAnchor xmlns:cdr="http://schemas.openxmlformats.org/drawingml/2006/chartDrawing">
    <cdr:from>
      <cdr:x>0.0425</cdr:x>
      <cdr:y>0.951</cdr:y>
    </cdr:from>
    <cdr:to>
      <cdr:x>0.18825</cdr:x>
      <cdr:y>0.97675</cdr:y>
    </cdr:to>
    <cdr:sp>
      <cdr:nvSpPr>
        <cdr:cNvPr id="10" name="Text Box 11"/>
        <cdr:cNvSpPr txBox="1">
          <a:spLocks noChangeArrowheads="1"/>
        </cdr:cNvSpPr>
      </cdr:nvSpPr>
      <cdr:spPr>
        <a:xfrm>
          <a:off x="390525" y="5429250"/>
          <a:ext cx="1352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Uscita secondario</a:t>
          </a:r>
        </a:p>
      </cdr:txBody>
    </cdr:sp>
  </cdr:relSizeAnchor>
  <cdr:relSizeAnchor xmlns:cdr="http://schemas.openxmlformats.org/drawingml/2006/chartDrawing">
    <cdr:from>
      <cdr:x>0.524</cdr:x>
      <cdr:y>0.924</cdr:y>
    </cdr:from>
    <cdr:to>
      <cdr:x>0.66025</cdr:x>
      <cdr:y>0.952</cdr:y>
    </cdr:to>
    <cdr:sp>
      <cdr:nvSpPr>
        <cdr:cNvPr id="11" name="Text Box 12"/>
        <cdr:cNvSpPr txBox="1">
          <a:spLocks noChangeArrowheads="1"/>
        </cdr:cNvSpPr>
      </cdr:nvSpPr>
      <cdr:spPr>
        <a:xfrm>
          <a:off x="4867275" y="5276850"/>
          <a:ext cx="1266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Uscita primario</a:t>
          </a:r>
        </a:p>
      </cdr:txBody>
    </cdr:sp>
  </cdr:relSizeAnchor>
  <cdr:relSizeAnchor xmlns:cdr="http://schemas.openxmlformats.org/drawingml/2006/chartDrawing">
    <cdr:from>
      <cdr:x>0.524</cdr:x>
      <cdr:y>0.95175</cdr:y>
    </cdr:from>
    <cdr:to>
      <cdr:x>0.66025</cdr:x>
      <cdr:y>0.978</cdr:y>
    </cdr:to>
    <cdr:sp>
      <cdr:nvSpPr>
        <cdr:cNvPr id="12" name="Text Box 13"/>
        <cdr:cNvSpPr txBox="1">
          <a:spLocks noChangeArrowheads="1"/>
        </cdr:cNvSpPr>
      </cdr:nvSpPr>
      <cdr:spPr>
        <a:xfrm>
          <a:off x="4867275" y="5438775"/>
          <a:ext cx="1266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Ingresso secondario</a:t>
          </a:r>
        </a:p>
      </cdr:txBody>
    </cdr:sp>
  </cdr:relSizeAnchor>
  <cdr:relSizeAnchor xmlns:cdr="http://schemas.openxmlformats.org/drawingml/2006/chartDrawing">
    <cdr:from>
      <cdr:x>0.84075</cdr:x>
      <cdr:y>0.23825</cdr:y>
    </cdr:from>
    <cdr:to>
      <cdr:x>0.9625</cdr:x>
      <cdr:y>0.28075</cdr:y>
    </cdr:to>
    <cdr:sp textlink="'Dati scambiatore a piastre 1'!$B$2">
      <cdr:nvSpPr>
        <cdr:cNvPr id="13" name="Text Box 14"/>
        <cdr:cNvSpPr txBox="1">
          <a:spLocks noChangeArrowheads="1"/>
        </cdr:cNvSpPr>
      </cdr:nvSpPr>
      <cdr:spPr>
        <a:xfrm>
          <a:off x="7820025" y="1352550"/>
          <a:ext cx="1133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fld id="{31a1fb2a-f45e-45b7-852f-e69c07df996d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SPE207 10</a:t>
          </a:fld>
        </a:p>
      </cdr:txBody>
    </cdr:sp>
  </cdr:relSizeAnchor>
  <cdr:relSizeAnchor xmlns:cdr="http://schemas.openxmlformats.org/drawingml/2006/chartDrawing">
    <cdr:from>
      <cdr:x>0.6545</cdr:x>
      <cdr:y>0.6515</cdr:y>
    </cdr:from>
    <cdr:to>
      <cdr:x>0.79</cdr:x>
      <cdr:y>0.68825</cdr:y>
    </cdr:to>
    <cdr:sp>
      <cdr:nvSpPr>
        <cdr:cNvPr id="14" name="Text Box 20"/>
        <cdr:cNvSpPr txBox="1">
          <a:spLocks noChangeArrowheads="1"/>
        </cdr:cNvSpPr>
      </cdr:nvSpPr>
      <cdr:spPr>
        <a:xfrm>
          <a:off x="6086475" y="371475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Fluido secondario</a:t>
          </a:r>
        </a:p>
      </cdr:txBody>
    </cdr:sp>
  </cdr:relSizeAnchor>
  <cdr:relSizeAnchor xmlns:cdr="http://schemas.openxmlformats.org/drawingml/2006/chartDrawing">
    <cdr:from>
      <cdr:x>0.6535</cdr:x>
      <cdr:y>0.67325</cdr:y>
    </cdr:from>
    <cdr:to>
      <cdr:x>0.9935</cdr:x>
      <cdr:y>0.74575</cdr:y>
    </cdr:to>
    <cdr:sp textlink="'Tabelle Grafici'!$A$11">
      <cdr:nvSpPr>
        <cdr:cNvPr id="15" name="Text Box 21"/>
        <cdr:cNvSpPr txBox="1">
          <a:spLocks noChangeArrowheads="1"/>
        </cdr:cNvSpPr>
      </cdr:nvSpPr>
      <cdr:spPr>
        <a:xfrm>
          <a:off x="6076950" y="3838575"/>
          <a:ext cx="3162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0cb87fe-a49e-4e7b-80cd-57c0a2482d7b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100 % Acqua (temperatura di protezione = 0 °C)</a:t>
          </a:fld>
        </a:p>
      </cdr:txBody>
    </cdr:sp>
  </cdr:relSizeAnchor>
  <cdr:relSizeAnchor xmlns:cdr="http://schemas.openxmlformats.org/drawingml/2006/chartDrawing">
    <cdr:from>
      <cdr:x>0.717</cdr:x>
      <cdr:y>0.75025</cdr:y>
    </cdr:from>
    <cdr:to>
      <cdr:x>0.93675</cdr:x>
      <cdr:y>0.81975</cdr:y>
    </cdr:to>
    <cdr:sp textlink="'Tabelle Grafici'!$A$13">
      <cdr:nvSpPr>
        <cdr:cNvPr id="16" name="Text Box 22"/>
        <cdr:cNvSpPr txBox="1">
          <a:spLocks noChangeArrowheads="1"/>
        </cdr:cNvSpPr>
      </cdr:nvSpPr>
      <cdr:spPr>
        <a:xfrm>
          <a:off x="6667500" y="4286250"/>
          <a:ext cx="20478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c95d0a4-236c-438b-a681-9f3b95519694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Portata fluido termovettore (kg/h) =</a:t>
          </a:fld>
        </a:p>
      </cdr:txBody>
    </cdr:sp>
  </cdr:relSizeAnchor>
  <cdr:relSizeAnchor xmlns:cdr="http://schemas.openxmlformats.org/drawingml/2006/chartDrawing">
    <cdr:from>
      <cdr:x>0.93125</cdr:x>
      <cdr:y>0.76075</cdr:y>
    </cdr:from>
    <cdr:to>
      <cdr:x>0.98925</cdr:x>
      <cdr:y>0.801</cdr:y>
    </cdr:to>
    <cdr:sp textlink="'Tabelle Grafici'!$B$13">
      <cdr:nvSpPr>
        <cdr:cNvPr id="17" name="Text Box 23"/>
        <cdr:cNvSpPr txBox="1">
          <a:spLocks noChangeArrowheads="1"/>
        </cdr:cNvSpPr>
      </cdr:nvSpPr>
      <cdr:spPr>
        <a:xfrm>
          <a:off x="8658225" y="434340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075cf08-9891-48cb-bb94-b1c13e9d44c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fld>
        </a:p>
      </cdr:txBody>
    </cdr:sp>
  </cdr:relSizeAnchor>
  <cdr:relSizeAnchor xmlns:cdr="http://schemas.openxmlformats.org/drawingml/2006/chartDrawing">
    <cdr:from>
      <cdr:x>0.6545</cdr:x>
      <cdr:y>0.3945</cdr:y>
    </cdr:from>
    <cdr:to>
      <cdr:x>0.79</cdr:x>
      <cdr:y>0.431</cdr:y>
    </cdr:to>
    <cdr:sp>
      <cdr:nvSpPr>
        <cdr:cNvPr id="18" name="Text Box 24"/>
        <cdr:cNvSpPr txBox="1">
          <a:spLocks noChangeArrowheads="1"/>
        </cdr:cNvSpPr>
      </cdr:nvSpPr>
      <cdr:spPr>
        <a:xfrm>
          <a:off x="6086475" y="224790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Fluido primario</a:t>
          </a:r>
        </a:p>
      </cdr:txBody>
    </cdr:sp>
  </cdr:relSizeAnchor>
  <cdr:relSizeAnchor xmlns:cdr="http://schemas.openxmlformats.org/drawingml/2006/chartDrawing">
    <cdr:from>
      <cdr:x>0.65775</cdr:x>
      <cdr:y>0.40625</cdr:y>
    </cdr:from>
    <cdr:to>
      <cdr:x>0.97875</cdr:x>
      <cdr:y>0.4975</cdr:y>
    </cdr:to>
    <cdr:sp textlink="'Tabelle Grafici'!$A$2">
      <cdr:nvSpPr>
        <cdr:cNvPr id="19" name="Text Box 25"/>
        <cdr:cNvSpPr txBox="1">
          <a:spLocks noChangeArrowheads="1"/>
        </cdr:cNvSpPr>
      </cdr:nvSpPr>
      <cdr:spPr>
        <a:xfrm>
          <a:off x="6115050" y="2314575"/>
          <a:ext cx="29908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982e41d-aa08-4749-a9c6-058427ab28af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100 % Acqua (temperatura di protezione = 0 °C)</a:t>
          </a:fld>
        </a:p>
      </cdr:txBody>
    </cdr:sp>
  </cdr:relSizeAnchor>
  <cdr:relSizeAnchor xmlns:cdr="http://schemas.openxmlformats.org/drawingml/2006/chartDrawing">
    <cdr:from>
      <cdr:x>0.7115</cdr:x>
      <cdr:y>0.48475</cdr:y>
    </cdr:from>
    <cdr:to>
      <cdr:x>0.93125</cdr:x>
      <cdr:y>0.55425</cdr:y>
    </cdr:to>
    <cdr:sp textlink="'Tabelle Grafici'!$A$4">
      <cdr:nvSpPr>
        <cdr:cNvPr id="20" name="Text Box 26"/>
        <cdr:cNvSpPr txBox="1">
          <a:spLocks noChangeArrowheads="1"/>
        </cdr:cNvSpPr>
      </cdr:nvSpPr>
      <cdr:spPr>
        <a:xfrm>
          <a:off x="6619875" y="2762250"/>
          <a:ext cx="20478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a5972ff-1b51-46b4-864c-2d8803a66a26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Portata fluido termovettore (kg/h) =</a:t>
          </a:fld>
        </a:p>
      </cdr:txBody>
    </cdr:sp>
  </cdr:relSizeAnchor>
  <cdr:relSizeAnchor xmlns:cdr="http://schemas.openxmlformats.org/drawingml/2006/chartDrawing">
    <cdr:from>
      <cdr:x>0.93125</cdr:x>
      <cdr:y>0.493</cdr:y>
    </cdr:from>
    <cdr:to>
      <cdr:x>0.98925</cdr:x>
      <cdr:y>0.53425</cdr:y>
    </cdr:to>
    <cdr:sp textlink="'Tabelle Grafici'!$B$4">
      <cdr:nvSpPr>
        <cdr:cNvPr id="21" name="Text Box 27"/>
        <cdr:cNvSpPr txBox="1">
          <a:spLocks noChangeArrowheads="1"/>
        </cdr:cNvSpPr>
      </cdr:nvSpPr>
      <cdr:spPr>
        <a:xfrm>
          <a:off x="8658225" y="2809875"/>
          <a:ext cx="542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dfa350d-ae0b-47e9-9473-b45afda50d3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fld>
        </a:p>
      </cdr:txBody>
    </cdr:sp>
  </cdr:relSizeAnchor>
  <cdr:relSizeAnchor xmlns:cdr="http://schemas.openxmlformats.org/drawingml/2006/chartDrawing">
    <cdr:from>
      <cdr:x>0.6545</cdr:x>
      <cdr:y>0.23825</cdr:y>
    </cdr:from>
    <cdr:to>
      <cdr:x>0.8465</cdr:x>
      <cdr:y>0.27475</cdr:y>
    </cdr:to>
    <cdr:sp>
      <cdr:nvSpPr>
        <cdr:cNvPr id="22" name="Text Box 28"/>
        <cdr:cNvSpPr txBox="1">
          <a:spLocks noChangeArrowheads="1"/>
        </cdr:cNvSpPr>
      </cdr:nvSpPr>
      <cdr:spPr>
        <a:xfrm>
          <a:off x="6086475" y="1352550"/>
          <a:ext cx="1790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Scambiatore a piastre:</a:t>
          </a:r>
        </a:p>
      </cdr:txBody>
    </cdr:sp>
  </cdr:relSizeAnchor>
  <cdr:relSizeAnchor xmlns:cdr="http://schemas.openxmlformats.org/drawingml/2006/chartDrawing">
    <cdr:from>
      <cdr:x>0.6545</cdr:x>
      <cdr:y>0.30175</cdr:y>
    </cdr:from>
    <cdr:to>
      <cdr:x>0.80025</cdr:x>
      <cdr:y>0.339</cdr:y>
    </cdr:to>
    <cdr:sp>
      <cdr:nvSpPr>
        <cdr:cNvPr id="23" name="Text Box 29"/>
        <cdr:cNvSpPr txBox="1">
          <a:spLocks noChangeArrowheads="1"/>
        </cdr:cNvSpPr>
      </cdr:nvSpPr>
      <cdr:spPr>
        <a:xfrm>
          <a:off x="6086475" y="1724025"/>
          <a:ext cx="1352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Potenza reale (W) =</a:t>
          </a:r>
        </a:p>
      </cdr:txBody>
    </cdr:sp>
  </cdr:relSizeAnchor>
  <cdr:relSizeAnchor xmlns:cdr="http://schemas.openxmlformats.org/drawingml/2006/chartDrawing">
    <cdr:from>
      <cdr:x>0.6545</cdr:x>
      <cdr:y>0.34875</cdr:y>
    </cdr:from>
    <cdr:to>
      <cdr:x>0.74375</cdr:x>
      <cdr:y>0.38625</cdr:y>
    </cdr:to>
    <cdr:sp>
      <cdr:nvSpPr>
        <cdr:cNvPr id="24" name="Text Box 31"/>
        <cdr:cNvSpPr txBox="1">
          <a:spLocks noChangeArrowheads="1"/>
        </cdr:cNvSpPr>
      </cdr:nvSpPr>
      <cdr:spPr>
        <a:xfrm>
          <a:off x="6086475" y="1990725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Efficienza =</a:t>
          </a:r>
        </a:p>
      </cdr:txBody>
    </cdr:sp>
  </cdr:relSizeAnchor>
  <cdr:relSizeAnchor xmlns:cdr="http://schemas.openxmlformats.org/drawingml/2006/chartDrawing">
    <cdr:from>
      <cdr:x>0.80025</cdr:x>
      <cdr:y>0.289</cdr:y>
    </cdr:from>
    <cdr:to>
      <cdr:x>0.873</cdr:x>
      <cdr:y>0.34875</cdr:y>
    </cdr:to>
    <cdr:sp textlink="'Tabelle Grafici'!$B$31">
      <cdr:nvSpPr>
        <cdr:cNvPr id="25" name="Text Box 32"/>
        <cdr:cNvSpPr txBox="1">
          <a:spLocks noChangeArrowheads="1"/>
        </cdr:cNvSpPr>
      </cdr:nvSpPr>
      <cdr:spPr>
        <a:xfrm>
          <a:off x="7439025" y="1647825"/>
          <a:ext cx="676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4f663ce-1e23-4cb4-8546-487d5c55c3a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7.875</a:t>
          </a:fld>
        </a:p>
      </cdr:txBody>
    </cdr:sp>
  </cdr:relSizeAnchor>
  <cdr:relSizeAnchor xmlns:cdr="http://schemas.openxmlformats.org/drawingml/2006/chartDrawing">
    <cdr:from>
      <cdr:x>0.74375</cdr:x>
      <cdr:y>0.339</cdr:y>
    </cdr:from>
    <cdr:to>
      <cdr:x>0.817</cdr:x>
      <cdr:y>0.38925</cdr:y>
    </cdr:to>
    <cdr:sp textlink="'Tabelle Grafici'!$B$30">
      <cdr:nvSpPr>
        <cdr:cNvPr id="26" name="Text Box 33"/>
        <cdr:cNvSpPr txBox="1">
          <a:spLocks noChangeArrowheads="1"/>
        </cdr:cNvSpPr>
      </cdr:nvSpPr>
      <cdr:spPr>
        <a:xfrm>
          <a:off x="6915150" y="1933575"/>
          <a:ext cx="685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0e135db-59b7-42af-a93d-56d94bec228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0,92</a:t>
          </a:fld>
        </a:p>
      </cdr:txBody>
    </cdr:sp>
  </cdr:relSizeAnchor>
  <cdr:relSizeAnchor xmlns:cdr="http://schemas.openxmlformats.org/drawingml/2006/chartDrawing">
    <cdr:from>
      <cdr:x>0.67</cdr:x>
      <cdr:y>0.437</cdr:y>
    </cdr:from>
    <cdr:to>
      <cdr:x>0.92825</cdr:x>
      <cdr:y>0.52825</cdr:y>
    </cdr:to>
    <cdr:sp textlink="'Tabelle Grafici'!$A$7">
      <cdr:nvSpPr>
        <cdr:cNvPr id="27" name="Text Box 25"/>
        <cdr:cNvSpPr txBox="1">
          <a:spLocks noChangeArrowheads="1"/>
        </cdr:cNvSpPr>
      </cdr:nvSpPr>
      <cdr:spPr>
        <a:xfrm>
          <a:off x="6229350" y="2495550"/>
          <a:ext cx="24003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ffaf46e-ffa5-4e92-acb4-67fd54fe59b5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Fattore di sporcamento lato primario (m2K/ W) =</a:t>
          </a:fld>
        </a:p>
      </cdr:txBody>
    </cdr:sp>
  </cdr:relSizeAnchor>
  <cdr:relSizeAnchor xmlns:cdr="http://schemas.openxmlformats.org/drawingml/2006/chartDrawing">
    <cdr:from>
      <cdr:x>0.66075</cdr:x>
      <cdr:y>0.70675</cdr:y>
    </cdr:from>
    <cdr:to>
      <cdr:x>0.98225</cdr:x>
      <cdr:y>0.77925</cdr:y>
    </cdr:to>
    <cdr:sp textlink="'Tabelle Grafici'!$A$16">
      <cdr:nvSpPr>
        <cdr:cNvPr id="28" name="Text Box 21"/>
        <cdr:cNvSpPr txBox="1">
          <a:spLocks noChangeArrowheads="1"/>
        </cdr:cNvSpPr>
      </cdr:nvSpPr>
      <cdr:spPr>
        <a:xfrm>
          <a:off x="6143625" y="4038600"/>
          <a:ext cx="2990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5502567-8666-4826-aacd-7d2ffca07efd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Fattore di sporcamento lato secondario (m2K/ W) =</a:t>
          </a:fld>
        </a:p>
      </cdr:txBody>
    </cdr:sp>
  </cdr:relSizeAnchor>
  <cdr:relSizeAnchor xmlns:cdr="http://schemas.openxmlformats.org/drawingml/2006/chartDrawing">
    <cdr:from>
      <cdr:x>0.93375</cdr:x>
      <cdr:y>0.45725</cdr:y>
    </cdr:from>
    <cdr:to>
      <cdr:x>0.99175</cdr:x>
      <cdr:y>0.499</cdr:y>
    </cdr:to>
    <cdr:sp textlink="'Tabelle Grafici'!$B$7">
      <cdr:nvSpPr>
        <cdr:cNvPr id="29" name="Text Box 27"/>
        <cdr:cNvSpPr txBox="1">
          <a:spLocks noChangeArrowheads="1"/>
        </cdr:cNvSpPr>
      </cdr:nvSpPr>
      <cdr:spPr>
        <a:xfrm>
          <a:off x="8686800" y="2609850"/>
          <a:ext cx="542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2ae8619-6846-4821-ab1b-cb211603f7e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0,00003</a:t>
          </a:fld>
        </a:p>
      </cdr:txBody>
    </cdr:sp>
  </cdr:relSizeAnchor>
  <cdr:relSizeAnchor xmlns:cdr="http://schemas.openxmlformats.org/drawingml/2006/chartDrawing">
    <cdr:from>
      <cdr:x>0.9325</cdr:x>
      <cdr:y>0.72025</cdr:y>
    </cdr:from>
    <cdr:to>
      <cdr:x>0.9905</cdr:x>
      <cdr:y>0.76075</cdr:y>
    </cdr:to>
    <cdr:sp textlink="'Tabelle Grafici'!$B$16">
      <cdr:nvSpPr>
        <cdr:cNvPr id="30" name="Text Box 23"/>
        <cdr:cNvSpPr txBox="1">
          <a:spLocks noChangeArrowheads="1"/>
        </cdr:cNvSpPr>
      </cdr:nvSpPr>
      <cdr:spPr>
        <a:xfrm>
          <a:off x="8677275" y="411480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460f3bc-34cc-45b7-b9ff-3db56a404a5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0,00002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0.54875</cdr:y>
    </cdr:from>
    <cdr:to>
      <cdr:x>0.93325</cdr:x>
      <cdr:y>0.59125</cdr:y>
    </cdr:to>
    <cdr:sp textlink="'Tabelle Grafici'!$A$36">
      <cdr:nvSpPr>
        <cdr:cNvPr id="1" name="Text Box 1"/>
        <cdr:cNvSpPr txBox="1">
          <a:spLocks noChangeArrowheads="1"/>
        </cdr:cNvSpPr>
      </cdr:nvSpPr>
      <cdr:spPr>
        <a:xfrm>
          <a:off x="6115050" y="3133725"/>
          <a:ext cx="2562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fc79ce5-897e-42e3-be5e-dc48539b0f8a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Temperatura di ingresso fluido primario (°C) =</a:t>
          </a:fld>
        </a:p>
      </cdr:txBody>
    </cdr:sp>
  </cdr:relSizeAnchor>
  <cdr:relSizeAnchor xmlns:cdr="http://schemas.openxmlformats.org/drawingml/2006/chartDrawing">
    <cdr:from>
      <cdr:x>0.6505</cdr:x>
      <cdr:y>0.8095</cdr:y>
    </cdr:from>
    <cdr:to>
      <cdr:x>0.946</cdr:x>
      <cdr:y>0.85125</cdr:y>
    </cdr:to>
    <cdr:sp textlink="'Tabelle Grafici'!$A$41">
      <cdr:nvSpPr>
        <cdr:cNvPr id="2" name="Text Box 2"/>
        <cdr:cNvSpPr txBox="1">
          <a:spLocks noChangeArrowheads="1"/>
        </cdr:cNvSpPr>
      </cdr:nvSpPr>
      <cdr:spPr>
        <a:xfrm>
          <a:off x="6048375" y="4619625"/>
          <a:ext cx="2752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9fd3907-49ef-4951-8d93-ee56edd16378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Temperatura di ingresso fluido secondario (°C) =</a:t>
          </a:fld>
        </a:p>
      </cdr:txBody>
    </cdr:sp>
  </cdr:relSizeAnchor>
  <cdr:relSizeAnchor xmlns:cdr="http://schemas.openxmlformats.org/drawingml/2006/chartDrawing">
    <cdr:from>
      <cdr:x>0.6565</cdr:x>
      <cdr:y>0.59125</cdr:y>
    </cdr:from>
    <cdr:to>
      <cdr:x>0.933</cdr:x>
      <cdr:y>0.63225</cdr:y>
    </cdr:to>
    <cdr:sp textlink="'Tabelle Grafici'!$A$37">
      <cdr:nvSpPr>
        <cdr:cNvPr id="3" name="Text Box 3"/>
        <cdr:cNvSpPr txBox="1">
          <a:spLocks noChangeArrowheads="1"/>
        </cdr:cNvSpPr>
      </cdr:nvSpPr>
      <cdr:spPr>
        <a:xfrm>
          <a:off x="6105525" y="3371850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bb0ac8f-9e83-4c6b-86e5-837a9fe72690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Temperatura di uscita fluido primario (°C) =</a:t>
          </a:fld>
        </a:p>
      </cdr:txBody>
    </cdr:sp>
  </cdr:relSizeAnchor>
  <cdr:relSizeAnchor xmlns:cdr="http://schemas.openxmlformats.org/drawingml/2006/chartDrawing">
    <cdr:from>
      <cdr:x>0.65125</cdr:x>
      <cdr:y>0.85125</cdr:y>
    </cdr:from>
    <cdr:to>
      <cdr:x>0.94575</cdr:x>
      <cdr:y>0.89125</cdr:y>
    </cdr:to>
    <cdr:sp textlink="'Tabelle Grafici'!$A$42">
      <cdr:nvSpPr>
        <cdr:cNvPr id="4" name="Text Box 4"/>
        <cdr:cNvSpPr txBox="1">
          <a:spLocks noChangeArrowheads="1"/>
        </cdr:cNvSpPr>
      </cdr:nvSpPr>
      <cdr:spPr>
        <a:xfrm>
          <a:off x="6057900" y="4857750"/>
          <a:ext cx="2743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c658c9f-5e0f-4220-9ec1-fb9c2b0d7dfc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Temperatura di uscita fluido secondario (°C) =</a:t>
          </a:fld>
        </a:p>
      </cdr:txBody>
    </cdr:sp>
  </cdr:relSizeAnchor>
  <cdr:relSizeAnchor xmlns:cdr="http://schemas.openxmlformats.org/drawingml/2006/chartDrawing">
    <cdr:from>
      <cdr:x>0.93975</cdr:x>
      <cdr:y>0.54875</cdr:y>
    </cdr:from>
    <cdr:to>
      <cdr:x>0.98425</cdr:x>
      <cdr:y>0.589</cdr:y>
    </cdr:to>
    <cdr:sp textlink="'Tabelle Grafici'!$B$51">
      <cdr:nvSpPr>
        <cdr:cNvPr id="5" name="Text Box 5"/>
        <cdr:cNvSpPr txBox="1">
          <a:spLocks noChangeArrowheads="1"/>
        </cdr:cNvSpPr>
      </cdr:nvSpPr>
      <cdr:spPr>
        <a:xfrm>
          <a:off x="8743950" y="3133725"/>
          <a:ext cx="409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c1d23a7-6830-49e1-9191-dceb97436ff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</a:t>
          </a:fld>
        </a:p>
      </cdr:txBody>
    </cdr:sp>
  </cdr:relSizeAnchor>
  <cdr:relSizeAnchor xmlns:cdr="http://schemas.openxmlformats.org/drawingml/2006/chartDrawing">
    <cdr:from>
      <cdr:x>0.9385</cdr:x>
      <cdr:y>0.59275</cdr:y>
    </cdr:from>
    <cdr:to>
      <cdr:x>0.98375</cdr:x>
      <cdr:y>0.63375</cdr:y>
    </cdr:to>
    <cdr:sp textlink="'Tabelle Grafici'!$B$52">
      <cdr:nvSpPr>
        <cdr:cNvPr id="6" name="Text Box 6"/>
        <cdr:cNvSpPr txBox="1">
          <a:spLocks noChangeArrowheads="1"/>
        </cdr:cNvSpPr>
      </cdr:nvSpPr>
      <cdr:spPr>
        <a:xfrm>
          <a:off x="8724900" y="3381375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bc86dfe-fad4-4d45-8f81-6c648f9b1ea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26,47</a:t>
          </a:fld>
        </a:p>
      </cdr:txBody>
    </cdr:sp>
  </cdr:relSizeAnchor>
  <cdr:relSizeAnchor xmlns:cdr="http://schemas.openxmlformats.org/drawingml/2006/chartDrawing">
    <cdr:from>
      <cdr:x>0.946</cdr:x>
      <cdr:y>0.8095</cdr:y>
    </cdr:from>
    <cdr:to>
      <cdr:x>0.99125</cdr:x>
      <cdr:y>0.8505</cdr:y>
    </cdr:to>
    <cdr:sp textlink="'Tabelle Grafici'!$B$56">
      <cdr:nvSpPr>
        <cdr:cNvPr id="7" name="Text Box 7"/>
        <cdr:cNvSpPr txBox="1">
          <a:spLocks noChangeArrowheads="1"/>
        </cdr:cNvSpPr>
      </cdr:nvSpPr>
      <cdr:spPr>
        <a:xfrm>
          <a:off x="8801100" y="4619625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5791d8a-5d09-46f7-8493-d0689e134c4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98,00</a:t>
          </a:fld>
        </a:p>
      </cdr:txBody>
    </cdr:sp>
  </cdr:relSizeAnchor>
  <cdr:relSizeAnchor xmlns:cdr="http://schemas.openxmlformats.org/drawingml/2006/chartDrawing">
    <cdr:from>
      <cdr:x>0.945</cdr:x>
      <cdr:y>0.85125</cdr:y>
    </cdr:from>
    <cdr:to>
      <cdr:x>0.99</cdr:x>
      <cdr:y>0.8915</cdr:y>
    </cdr:to>
    <cdr:sp textlink="'Tabelle Grafici'!$B$57">
      <cdr:nvSpPr>
        <cdr:cNvPr id="8" name="Text Box 8"/>
        <cdr:cNvSpPr txBox="1">
          <a:spLocks noChangeArrowheads="1"/>
        </cdr:cNvSpPr>
      </cdr:nvSpPr>
      <cdr:spPr>
        <a:xfrm>
          <a:off x="8791575" y="4857750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b910bc7-d8fb-4c06-852d-de3aac3b293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27,40</a:t>
          </a:fld>
        </a:p>
      </cdr:txBody>
    </cdr:sp>
  </cdr:relSizeAnchor>
  <cdr:relSizeAnchor xmlns:cdr="http://schemas.openxmlformats.org/drawingml/2006/chartDrawing">
    <cdr:from>
      <cdr:x>0.043</cdr:x>
      <cdr:y>0.92375</cdr:y>
    </cdr:from>
    <cdr:to>
      <cdr:x>0.19025</cdr:x>
      <cdr:y>0.9515</cdr:y>
    </cdr:to>
    <cdr:sp>
      <cdr:nvSpPr>
        <cdr:cNvPr id="9" name="Text Box 9"/>
        <cdr:cNvSpPr txBox="1">
          <a:spLocks noChangeArrowheads="1"/>
        </cdr:cNvSpPr>
      </cdr:nvSpPr>
      <cdr:spPr>
        <a:xfrm>
          <a:off x="400050" y="5276850"/>
          <a:ext cx="1371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Ingresso primario</a:t>
          </a:r>
        </a:p>
      </cdr:txBody>
    </cdr:sp>
  </cdr:relSizeAnchor>
  <cdr:relSizeAnchor xmlns:cdr="http://schemas.openxmlformats.org/drawingml/2006/chartDrawing">
    <cdr:from>
      <cdr:x>0.043</cdr:x>
      <cdr:y>0.95075</cdr:y>
    </cdr:from>
    <cdr:to>
      <cdr:x>0.189</cdr:x>
      <cdr:y>0.97675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400050" y="5429250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Ingresso secondario</a:t>
          </a:r>
        </a:p>
      </cdr:txBody>
    </cdr:sp>
  </cdr:relSizeAnchor>
  <cdr:relSizeAnchor xmlns:cdr="http://schemas.openxmlformats.org/drawingml/2006/chartDrawing">
    <cdr:from>
      <cdr:x>0.52675</cdr:x>
      <cdr:y>0.92175</cdr:y>
    </cdr:from>
    <cdr:to>
      <cdr:x>0.663</cdr:x>
      <cdr:y>0.95025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895850" y="5267325"/>
          <a:ext cx="1266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Uscita primario</a:t>
          </a:r>
        </a:p>
      </cdr:txBody>
    </cdr:sp>
  </cdr:relSizeAnchor>
  <cdr:relSizeAnchor xmlns:cdr="http://schemas.openxmlformats.org/drawingml/2006/chartDrawing">
    <cdr:from>
      <cdr:x>0.52675</cdr:x>
      <cdr:y>0.95</cdr:y>
    </cdr:from>
    <cdr:to>
      <cdr:x>0.663</cdr:x>
      <cdr:y>0.9765</cdr:y>
    </cdr:to>
    <cdr:sp>
      <cdr:nvSpPr>
        <cdr:cNvPr id="12" name="Text Box 12"/>
        <cdr:cNvSpPr txBox="1">
          <a:spLocks noChangeArrowheads="1"/>
        </cdr:cNvSpPr>
      </cdr:nvSpPr>
      <cdr:spPr>
        <a:xfrm>
          <a:off x="4895850" y="5429250"/>
          <a:ext cx="1266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Uscita secondario</a:t>
          </a:r>
        </a:p>
      </cdr:txBody>
    </cdr:sp>
  </cdr:relSizeAnchor>
  <cdr:relSizeAnchor xmlns:cdr="http://schemas.openxmlformats.org/drawingml/2006/chartDrawing">
    <cdr:from>
      <cdr:x>0.6565</cdr:x>
      <cdr:y>0.2415</cdr:y>
    </cdr:from>
    <cdr:to>
      <cdr:x>0.84625</cdr:x>
      <cdr:y>0.27875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6105525" y="1371600"/>
          <a:ext cx="1762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Scambiatore a piastre:</a:t>
          </a:r>
        </a:p>
      </cdr:txBody>
    </cdr:sp>
  </cdr:relSizeAnchor>
  <cdr:relSizeAnchor xmlns:cdr="http://schemas.openxmlformats.org/drawingml/2006/chartDrawing">
    <cdr:from>
      <cdr:x>0.84575</cdr:x>
      <cdr:y>0.2415</cdr:y>
    </cdr:from>
    <cdr:to>
      <cdr:x>0.9665</cdr:x>
      <cdr:y>0.28325</cdr:y>
    </cdr:to>
    <cdr:sp textlink="'Dati scambiatore a piastre 1'!$B$2">
      <cdr:nvSpPr>
        <cdr:cNvPr id="14" name="Text Box 14"/>
        <cdr:cNvSpPr txBox="1">
          <a:spLocks noChangeArrowheads="1"/>
        </cdr:cNvSpPr>
      </cdr:nvSpPr>
      <cdr:spPr>
        <a:xfrm>
          <a:off x="7867650" y="1371600"/>
          <a:ext cx="1123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fld id="{caace515-c869-44c3-8435-e4182410fd65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SPE207 10</a:t>
          </a:fld>
        </a:p>
      </cdr:txBody>
    </cdr:sp>
  </cdr:relSizeAnchor>
  <cdr:relSizeAnchor xmlns:cdr="http://schemas.openxmlformats.org/drawingml/2006/chartDrawing">
    <cdr:from>
      <cdr:x>0.66275</cdr:x>
      <cdr:y>0.30575</cdr:y>
    </cdr:from>
    <cdr:to>
      <cdr:x>0.807</cdr:x>
      <cdr:y>0.34225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6162675" y="174307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Potenza reale (W) =</a:t>
          </a:r>
        </a:p>
      </cdr:txBody>
    </cdr:sp>
  </cdr:relSizeAnchor>
  <cdr:relSizeAnchor xmlns:cdr="http://schemas.openxmlformats.org/drawingml/2006/chartDrawing">
    <cdr:from>
      <cdr:x>0.66275</cdr:x>
      <cdr:y>0.35425</cdr:y>
    </cdr:from>
    <cdr:to>
      <cdr:x>0.75125</cdr:x>
      <cdr:y>0.391</cdr:y>
    </cdr:to>
    <cdr:sp>
      <cdr:nvSpPr>
        <cdr:cNvPr id="16" name="Text Box 16"/>
        <cdr:cNvSpPr txBox="1">
          <a:spLocks noChangeArrowheads="1"/>
        </cdr:cNvSpPr>
      </cdr:nvSpPr>
      <cdr:spPr>
        <a:xfrm>
          <a:off x="6162675" y="201930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Efficienza =</a:t>
          </a:r>
        </a:p>
      </cdr:txBody>
    </cdr:sp>
  </cdr:relSizeAnchor>
  <cdr:relSizeAnchor xmlns:cdr="http://schemas.openxmlformats.org/drawingml/2006/chartDrawing">
    <cdr:from>
      <cdr:x>0.66125</cdr:x>
      <cdr:y>0.40275</cdr:y>
    </cdr:from>
    <cdr:to>
      <cdr:x>0.7965</cdr:x>
      <cdr:y>0.44025</cdr:y>
    </cdr:to>
    <cdr:sp>
      <cdr:nvSpPr>
        <cdr:cNvPr id="17" name="Text Box 18"/>
        <cdr:cNvSpPr txBox="1">
          <a:spLocks noChangeArrowheads="1"/>
        </cdr:cNvSpPr>
      </cdr:nvSpPr>
      <cdr:spPr>
        <a:xfrm>
          <a:off x="6153150" y="2295525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Fluido primario</a:t>
          </a:r>
        </a:p>
      </cdr:txBody>
    </cdr:sp>
  </cdr:relSizeAnchor>
  <cdr:relSizeAnchor xmlns:cdr="http://schemas.openxmlformats.org/drawingml/2006/chartDrawing">
    <cdr:from>
      <cdr:x>0.65</cdr:x>
      <cdr:y>0.67575</cdr:y>
    </cdr:from>
    <cdr:to>
      <cdr:x>0.99475</cdr:x>
      <cdr:y>0.749</cdr:y>
    </cdr:to>
    <cdr:sp textlink="'Tabelle Grafici'!$A$11">
      <cdr:nvSpPr>
        <cdr:cNvPr id="18" name="Text Box 19"/>
        <cdr:cNvSpPr txBox="1">
          <a:spLocks noChangeArrowheads="1"/>
        </cdr:cNvSpPr>
      </cdr:nvSpPr>
      <cdr:spPr>
        <a:xfrm>
          <a:off x="6048375" y="3857625"/>
          <a:ext cx="32099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16a54c1-831b-4791-8354-abd8a5e8504d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100 % Acqua (temperatura di protezione = 0 °C)</a:t>
          </a:fld>
        </a:p>
      </cdr:txBody>
    </cdr:sp>
  </cdr:relSizeAnchor>
  <cdr:relSizeAnchor xmlns:cdr="http://schemas.openxmlformats.org/drawingml/2006/chartDrawing">
    <cdr:from>
      <cdr:x>0.65525</cdr:x>
      <cdr:y>0.65475</cdr:y>
    </cdr:from>
    <cdr:to>
      <cdr:x>0.79075</cdr:x>
      <cdr:y>0.69225</cdr:y>
    </cdr:to>
    <cdr:sp>
      <cdr:nvSpPr>
        <cdr:cNvPr id="19" name="Text Box 20"/>
        <cdr:cNvSpPr txBox="1">
          <a:spLocks noChangeArrowheads="1"/>
        </cdr:cNvSpPr>
      </cdr:nvSpPr>
      <cdr:spPr>
        <a:xfrm>
          <a:off x="6096000" y="3733800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Fluido secondario</a:t>
          </a:r>
        </a:p>
      </cdr:txBody>
    </cdr:sp>
  </cdr:relSizeAnchor>
  <cdr:relSizeAnchor xmlns:cdr="http://schemas.openxmlformats.org/drawingml/2006/chartDrawing">
    <cdr:from>
      <cdr:x>0.71275</cdr:x>
      <cdr:y>0.7535</cdr:y>
    </cdr:from>
    <cdr:to>
      <cdr:x>0.9315</cdr:x>
      <cdr:y>0.823</cdr:y>
    </cdr:to>
    <cdr:sp textlink="'Tabelle Grafici'!$A$13">
      <cdr:nvSpPr>
        <cdr:cNvPr id="20" name="Text Box 21"/>
        <cdr:cNvSpPr txBox="1">
          <a:spLocks noChangeArrowheads="1"/>
        </cdr:cNvSpPr>
      </cdr:nvSpPr>
      <cdr:spPr>
        <a:xfrm>
          <a:off x="6629400" y="4305300"/>
          <a:ext cx="20383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9510440-6991-406c-bf3a-43e56a59709b}" type="TxLink"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Portata fluido termovettore (kg/h) =</a:t>
          </a:fld>
        </a:p>
      </cdr:txBody>
    </cdr:sp>
  </cdr:relSizeAnchor>
  <cdr:relSizeAnchor xmlns:cdr="http://schemas.openxmlformats.org/drawingml/2006/chartDrawing">
    <cdr:from>
      <cdr:x>0.92525</cdr:x>
      <cdr:y>0.76775</cdr:y>
    </cdr:from>
    <cdr:to>
      <cdr:x>0.9895</cdr:x>
      <cdr:y>0.80725</cdr:y>
    </cdr:to>
    <cdr:sp textlink="'Tabelle Grafici'!$B$13">
      <cdr:nvSpPr>
        <cdr:cNvPr id="21" name="Text Box 22"/>
        <cdr:cNvSpPr txBox="1">
          <a:spLocks noChangeArrowheads="1"/>
        </cdr:cNvSpPr>
      </cdr:nvSpPr>
      <cdr:spPr>
        <a:xfrm>
          <a:off x="8601075" y="4381500"/>
          <a:ext cx="600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87f8e94-33e1-4403-a0fa-ed1e7668844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fld>
        </a:p>
      </cdr:txBody>
    </cdr:sp>
  </cdr:relSizeAnchor>
  <cdr:relSizeAnchor xmlns:cdr="http://schemas.openxmlformats.org/drawingml/2006/chartDrawing">
    <cdr:from>
      <cdr:x>0.6575</cdr:x>
      <cdr:y>0.41025</cdr:y>
    </cdr:from>
    <cdr:to>
      <cdr:x>0.97925</cdr:x>
      <cdr:y>0.5015</cdr:y>
    </cdr:to>
    <cdr:sp textlink="'Tabelle Grafici'!$A$2">
      <cdr:nvSpPr>
        <cdr:cNvPr id="22" name="Text Box 23"/>
        <cdr:cNvSpPr txBox="1">
          <a:spLocks noChangeArrowheads="1"/>
        </cdr:cNvSpPr>
      </cdr:nvSpPr>
      <cdr:spPr>
        <a:xfrm>
          <a:off x="6115050" y="2343150"/>
          <a:ext cx="29908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e70f04c-af80-4431-84a3-1d76eb9baeab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100 % Acqua (temperatura di protezione = 0 °C)</a:t>
          </a:fld>
        </a:p>
      </cdr:txBody>
    </cdr:sp>
  </cdr:relSizeAnchor>
  <cdr:relSizeAnchor xmlns:cdr="http://schemas.openxmlformats.org/drawingml/2006/chartDrawing">
    <cdr:from>
      <cdr:x>0.70025</cdr:x>
      <cdr:y>0.497</cdr:y>
    </cdr:from>
    <cdr:to>
      <cdr:x>0.91875</cdr:x>
      <cdr:y>0.56575</cdr:y>
    </cdr:to>
    <cdr:sp textlink="'Tabelle Grafici'!$A$4">
      <cdr:nvSpPr>
        <cdr:cNvPr id="23" name="Text Box 24"/>
        <cdr:cNvSpPr txBox="1">
          <a:spLocks noChangeArrowheads="1"/>
        </cdr:cNvSpPr>
      </cdr:nvSpPr>
      <cdr:spPr>
        <a:xfrm>
          <a:off x="6515100" y="2838450"/>
          <a:ext cx="2028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d518eb0-6a6d-4419-94bf-d25e379a997b}" type="TxLink"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Portata fluido termovettore (kg/h) =</a:t>
          </a:fld>
        </a:p>
      </cdr:txBody>
    </cdr:sp>
  </cdr:relSizeAnchor>
  <cdr:relSizeAnchor xmlns:cdr="http://schemas.openxmlformats.org/drawingml/2006/chartDrawing">
    <cdr:from>
      <cdr:x>0.926</cdr:x>
      <cdr:y>0.50825</cdr:y>
    </cdr:from>
    <cdr:to>
      <cdr:x>0.98425</cdr:x>
      <cdr:y>0.54875</cdr:y>
    </cdr:to>
    <cdr:sp textlink="'Tabelle Grafici'!$B$4">
      <cdr:nvSpPr>
        <cdr:cNvPr id="24" name="Text Box 25"/>
        <cdr:cNvSpPr txBox="1">
          <a:spLocks noChangeArrowheads="1"/>
        </cdr:cNvSpPr>
      </cdr:nvSpPr>
      <cdr:spPr>
        <a:xfrm>
          <a:off x="8610600" y="289560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152c2c1-aeb8-46c0-b65c-356928b6984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fld>
        </a:p>
      </cdr:txBody>
    </cdr:sp>
  </cdr:relSizeAnchor>
  <cdr:relSizeAnchor xmlns:cdr="http://schemas.openxmlformats.org/drawingml/2006/chartDrawing">
    <cdr:from>
      <cdr:x>0.8075</cdr:x>
      <cdr:y>0.28325</cdr:y>
    </cdr:from>
    <cdr:to>
      <cdr:x>0.8805</cdr:x>
      <cdr:y>0.35425</cdr:y>
    </cdr:to>
    <cdr:sp textlink="'Tabelle Grafici'!$B$46">
      <cdr:nvSpPr>
        <cdr:cNvPr id="25" name="Text Box 26"/>
        <cdr:cNvSpPr txBox="1">
          <a:spLocks noChangeArrowheads="1"/>
        </cdr:cNvSpPr>
      </cdr:nvSpPr>
      <cdr:spPr>
        <a:xfrm>
          <a:off x="7505700" y="1609725"/>
          <a:ext cx="6762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9742d3c-5c56-4fa4-9849-ec71ab22456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6.158</a:t>
          </a:fld>
        </a:p>
      </cdr:txBody>
    </cdr:sp>
  </cdr:relSizeAnchor>
  <cdr:relSizeAnchor xmlns:cdr="http://schemas.openxmlformats.org/drawingml/2006/chartDrawing">
    <cdr:from>
      <cdr:x>0.75825</cdr:x>
      <cdr:y>0.34075</cdr:y>
    </cdr:from>
    <cdr:to>
      <cdr:x>0.8315</cdr:x>
      <cdr:y>0.40125</cdr:y>
    </cdr:to>
    <cdr:sp textlink="'Tabelle Grafici'!$B$45">
      <cdr:nvSpPr>
        <cdr:cNvPr id="26" name="Text Box 27"/>
        <cdr:cNvSpPr txBox="1">
          <a:spLocks noChangeArrowheads="1"/>
        </cdr:cNvSpPr>
      </cdr:nvSpPr>
      <cdr:spPr>
        <a:xfrm>
          <a:off x="7048500" y="1943100"/>
          <a:ext cx="6858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9fbd963-5779-41a3-8d97-6717f983f91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0,72</a:t>
          </a:fld>
        </a:p>
      </cdr:txBody>
    </cdr:sp>
  </cdr:relSizeAnchor>
  <cdr:relSizeAnchor xmlns:cdr="http://schemas.openxmlformats.org/drawingml/2006/chartDrawing">
    <cdr:from>
      <cdr:x>0.6595</cdr:x>
      <cdr:y>0.4455</cdr:y>
    </cdr:from>
    <cdr:to>
      <cdr:x>0.91825</cdr:x>
      <cdr:y>0.53675</cdr:y>
    </cdr:to>
    <cdr:sp>
      <cdr:nvSpPr>
        <cdr:cNvPr id="27" name="Text Box 25"/>
        <cdr:cNvSpPr txBox="1">
          <a:spLocks noChangeArrowheads="1"/>
        </cdr:cNvSpPr>
      </cdr:nvSpPr>
      <cdr:spPr>
        <a:xfrm>
          <a:off x="6134100" y="2543175"/>
          <a:ext cx="24098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Fattore di sporcamento lato primario (m2K/ W) =</a:t>
          </a:r>
        </a:p>
      </cdr:txBody>
    </cdr:sp>
  </cdr:relSizeAnchor>
  <cdr:relSizeAnchor xmlns:cdr="http://schemas.openxmlformats.org/drawingml/2006/chartDrawing">
    <cdr:from>
      <cdr:x>0.65475</cdr:x>
      <cdr:y>0.71375</cdr:y>
    </cdr:from>
    <cdr:to>
      <cdr:x>0.976</cdr:x>
      <cdr:y>0.78625</cdr:y>
    </cdr:to>
    <cdr:sp>
      <cdr:nvSpPr>
        <cdr:cNvPr id="28" name="Text Box 21"/>
        <cdr:cNvSpPr txBox="1">
          <a:spLocks noChangeArrowheads="1"/>
        </cdr:cNvSpPr>
      </cdr:nvSpPr>
      <cdr:spPr>
        <a:xfrm>
          <a:off x="6086475" y="4076700"/>
          <a:ext cx="29908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Fattore di sporcamento lato secondario (m2K/ W) =</a:t>
          </a:r>
        </a:p>
      </cdr:txBody>
    </cdr:sp>
  </cdr:relSizeAnchor>
  <cdr:relSizeAnchor xmlns:cdr="http://schemas.openxmlformats.org/drawingml/2006/chartDrawing">
    <cdr:from>
      <cdr:x>0.92675</cdr:x>
      <cdr:y>0.4695</cdr:y>
    </cdr:from>
    <cdr:to>
      <cdr:x>0.9845</cdr:x>
      <cdr:y>0.5105</cdr:y>
    </cdr:to>
    <cdr:sp>
      <cdr:nvSpPr>
        <cdr:cNvPr id="29" name="Text Box 27"/>
        <cdr:cNvSpPr txBox="1">
          <a:spLocks noChangeArrowheads="1"/>
        </cdr:cNvSpPr>
      </cdr:nvSpPr>
      <cdr:spPr>
        <a:xfrm>
          <a:off x="8620125" y="2676525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0,00003</a:t>
          </a:r>
        </a:p>
      </cdr:txBody>
    </cdr:sp>
  </cdr:relSizeAnchor>
  <cdr:relSizeAnchor xmlns:cdr="http://schemas.openxmlformats.org/drawingml/2006/chartDrawing">
    <cdr:from>
      <cdr:x>0.9295</cdr:x>
      <cdr:y>0.73025</cdr:y>
    </cdr:from>
    <cdr:to>
      <cdr:x>0.98775</cdr:x>
      <cdr:y>0.77075</cdr:y>
    </cdr:to>
    <cdr:sp>
      <cdr:nvSpPr>
        <cdr:cNvPr id="30" name="Text Box 23"/>
        <cdr:cNvSpPr txBox="1">
          <a:spLocks noChangeArrowheads="1"/>
        </cdr:cNvSpPr>
      </cdr:nvSpPr>
      <cdr:spPr>
        <a:xfrm>
          <a:off x="8648700" y="4171950"/>
          <a:ext cx="542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0,00002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24"/>
  <sheetViews>
    <sheetView zoomScalePageLayoutView="0" workbookViewId="0" topLeftCell="A1">
      <selection activeCell="B29" sqref="B29"/>
    </sheetView>
  </sheetViews>
  <sheetFormatPr defaultColWidth="9.140625" defaultRowHeight="12.75"/>
  <cols>
    <col min="2" max="2" width="67.57421875" style="0" customWidth="1"/>
  </cols>
  <sheetData>
    <row r="6" ht="12.75">
      <c r="B6" s="93" t="s">
        <v>45</v>
      </c>
    </row>
    <row r="8" ht="12.75">
      <c r="B8" s="94" t="s">
        <v>46</v>
      </c>
    </row>
    <row r="9" ht="12.75">
      <c r="B9" s="94" t="s">
        <v>47</v>
      </c>
    </row>
    <row r="10" ht="12.75">
      <c r="B10" s="94" t="s">
        <v>48</v>
      </c>
    </row>
    <row r="11" ht="12.75">
      <c r="B11" s="94" t="s">
        <v>49</v>
      </c>
    </row>
    <row r="12" ht="12.75">
      <c r="B12" s="94"/>
    </row>
    <row r="13" ht="12.75">
      <c r="B13" s="94" t="s">
        <v>50</v>
      </c>
    </row>
    <row r="14" ht="12.75">
      <c r="B14" s="94" t="s">
        <v>51</v>
      </c>
    </row>
    <row r="15" ht="12.75">
      <c r="B15" s="94"/>
    </row>
    <row r="16" ht="12.75">
      <c r="B16" s="94" t="s">
        <v>52</v>
      </c>
    </row>
    <row r="17" ht="12.75">
      <c r="B17" s="94" t="s">
        <v>53</v>
      </c>
    </row>
    <row r="18" ht="12.75">
      <c r="B18" s="94"/>
    </row>
    <row r="19" ht="12.75">
      <c r="B19" s="94" t="s">
        <v>54</v>
      </c>
    </row>
    <row r="20" ht="12.75">
      <c r="B20" t="s">
        <v>55</v>
      </c>
    </row>
    <row r="22" ht="12.75">
      <c r="B22" s="143" t="s">
        <v>151</v>
      </c>
    </row>
    <row r="24" ht="12.75">
      <c r="B24" s="143" t="s">
        <v>150</v>
      </c>
    </row>
  </sheetData>
  <sheetProtection password="E369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6">
      <selection activeCell="E13" sqref="E13"/>
    </sheetView>
  </sheetViews>
  <sheetFormatPr defaultColWidth="9.140625" defaultRowHeight="12.75"/>
  <cols>
    <col min="1" max="1" width="58.00390625" style="21" customWidth="1"/>
    <col min="2" max="2" width="14.57421875" style="21" customWidth="1"/>
    <col min="3" max="3" width="11.7109375" style="21" customWidth="1"/>
    <col min="4" max="4" width="12.7109375" style="21" customWidth="1"/>
    <col min="5" max="10" width="9.140625" style="21" customWidth="1"/>
    <col min="11" max="11" width="15.8515625" style="21" customWidth="1"/>
    <col min="12" max="16384" width="9.140625" style="21" customWidth="1"/>
  </cols>
  <sheetData>
    <row r="1" spans="1:4" ht="13.5" thickBot="1">
      <c r="A1" s="86" t="s">
        <v>43</v>
      </c>
      <c r="D1" s="195" t="s">
        <v>133</v>
      </c>
    </row>
    <row r="2" spans="1:4" ht="13.5" thickBot="1">
      <c r="A2" s="32" t="s">
        <v>38</v>
      </c>
      <c r="B2" s="95" t="s">
        <v>88</v>
      </c>
      <c r="D2" s="195"/>
    </row>
    <row r="3" spans="1:2" ht="12.75">
      <c r="A3" s="13" t="s">
        <v>37</v>
      </c>
      <c r="B3" s="33">
        <f>1/(1/((Modelli!AB28*Primario!J12*Secondario!J12))+B11+B23)</f>
        <v>6614.552658349842</v>
      </c>
    </row>
    <row r="4" spans="1:2" ht="12.75">
      <c r="A4" s="12"/>
      <c r="B4" s="14"/>
    </row>
    <row r="5" ht="13.5" thickBot="1">
      <c r="A5" s="101" t="s">
        <v>7</v>
      </c>
    </row>
    <row r="6" spans="1:2" ht="13.5" thickBot="1">
      <c r="A6" s="193" t="s">
        <v>0</v>
      </c>
      <c r="B6" s="23"/>
    </row>
    <row r="7" spans="1:2" ht="13.5" thickBot="1">
      <c r="A7" s="100" t="s">
        <v>11</v>
      </c>
      <c r="B7" s="76">
        <f>+Primario!I12</f>
        <v>1</v>
      </c>
    </row>
    <row r="8" spans="1:2" ht="13.5" thickBot="1">
      <c r="A8" s="79" t="s">
        <v>13</v>
      </c>
      <c r="B8" s="77">
        <v>1976</v>
      </c>
    </row>
    <row r="9" spans="1:2" ht="13.5" thickBot="1">
      <c r="A9" s="202" t="s">
        <v>138</v>
      </c>
      <c r="B9" s="204">
        <f>+'Dati scambiatore a piastre 2'!B10</f>
        <v>32.93333333333333</v>
      </c>
    </row>
    <row r="10" spans="1:2" ht="13.5" thickBot="1">
      <c r="A10" s="79" t="s">
        <v>16</v>
      </c>
      <c r="B10" s="78">
        <v>60</v>
      </c>
    </row>
    <row r="11" spans="1:2" ht="13.5" customHeight="1" thickBot="1">
      <c r="A11" s="79" t="s">
        <v>134</v>
      </c>
      <c r="B11" s="199">
        <v>3E-05</v>
      </c>
    </row>
    <row r="12" spans="1:2" ht="13.5" customHeight="1">
      <c r="A12" s="202" t="s">
        <v>145</v>
      </c>
      <c r="B12" s="212">
        <f>+'Dati scambiatore a piastre 2'!B13</f>
        <v>0.9832000000000001</v>
      </c>
    </row>
    <row r="13" spans="1:2" ht="13.5" customHeight="1">
      <c r="A13" s="202" t="s">
        <v>142</v>
      </c>
      <c r="B13" s="214" t="str">
        <f>+'Dati scambiatore a piastre 2'!B14</f>
        <v>M 1"</v>
      </c>
    </row>
    <row r="14" spans="1:2" ht="13.5" customHeight="1">
      <c r="A14" s="202" t="s">
        <v>143</v>
      </c>
      <c r="B14" s="213">
        <f>+'Dati scambiatore a piastre 2'!B16</f>
        <v>1.193914982993707</v>
      </c>
    </row>
    <row r="15" spans="1:3" ht="12.75">
      <c r="A15" s="13" t="s">
        <v>41</v>
      </c>
      <c r="B15" s="96">
        <f>+'Dati scambiatore a piastre 2'!B18</f>
        <v>0.008979564103083492</v>
      </c>
      <c r="C15" s="41">
        <f>+B15*100/9.806</f>
        <v>0.0915721405576534</v>
      </c>
    </row>
    <row r="16" spans="1:2" ht="12.75">
      <c r="A16" s="12"/>
      <c r="B16" s="14"/>
    </row>
    <row r="17" ht="13.5" thickBot="1">
      <c r="A17" s="99" t="s">
        <v>8</v>
      </c>
    </row>
    <row r="18" ht="13.5" thickBot="1">
      <c r="A18" s="194" t="s">
        <v>0</v>
      </c>
    </row>
    <row r="19" spans="1:2" ht="13.5" thickBot="1">
      <c r="A19" s="100" t="s">
        <v>11</v>
      </c>
      <c r="B19" s="76">
        <f>+Secondario!I12</f>
        <v>1</v>
      </c>
    </row>
    <row r="20" spans="1:2" ht="13.5" thickBot="1">
      <c r="A20" s="80" t="s">
        <v>13</v>
      </c>
      <c r="B20" s="77">
        <v>2000</v>
      </c>
    </row>
    <row r="21" spans="1:2" ht="13.5" thickBot="1">
      <c r="A21" s="202" t="s">
        <v>138</v>
      </c>
      <c r="B21" s="204">
        <f>+'Dati scambiatore a piastre 2'!B24</f>
        <v>33.333333333333336</v>
      </c>
    </row>
    <row r="22" spans="1:2" ht="13.5" thickBot="1">
      <c r="A22" s="205" t="s">
        <v>16</v>
      </c>
      <c r="B22" s="78">
        <v>17</v>
      </c>
    </row>
    <row r="23" spans="1:2" ht="13.5" customHeight="1" thickBot="1">
      <c r="A23" s="80" t="s">
        <v>135</v>
      </c>
      <c r="B23" s="199">
        <v>2E-05</v>
      </c>
    </row>
    <row r="24" spans="1:2" ht="13.5" customHeight="1">
      <c r="A24" s="202" t="s">
        <v>145</v>
      </c>
      <c r="B24" s="212">
        <f>+'Dati scambiatore a piastre 2'!B27</f>
        <v>0.9987266928399999</v>
      </c>
    </row>
    <row r="25" spans="1:2" ht="13.5" customHeight="1">
      <c r="A25" s="202" t="s">
        <v>142</v>
      </c>
      <c r="B25" s="214" t="str">
        <f>+'Dati scambiatore a piastre 2'!B28</f>
        <v>M 1"</v>
      </c>
    </row>
    <row r="26" spans="1:2" ht="13.5" customHeight="1">
      <c r="A26" s="202" t="s">
        <v>143</v>
      </c>
      <c r="B26" s="213">
        <f>+'Dati scambiatore a piastre 2'!B30</f>
        <v>1.189629349884149</v>
      </c>
    </row>
    <row r="27" spans="1:3" ht="12.75">
      <c r="A27" s="13" t="s">
        <v>41</v>
      </c>
      <c r="B27" s="96">
        <f>+'Dati scambiatore a piastre 2'!B32</f>
        <v>0.009724409482905406</v>
      </c>
      <c r="C27" s="41">
        <f>+B27*100/9.806</f>
        <v>0.0991679531195738</v>
      </c>
    </row>
    <row r="28" ht="19.5" customHeight="1" thickBot="1"/>
    <row r="29" spans="1:11" ht="12.75">
      <c r="A29" s="81" t="s">
        <v>14</v>
      </c>
      <c r="B29" s="24"/>
      <c r="C29" s="34"/>
      <c r="E29" s="89" t="s">
        <v>148</v>
      </c>
      <c r="I29" s="89" t="s">
        <v>148</v>
      </c>
      <c r="K29" s="224" t="s">
        <v>152</v>
      </c>
    </row>
    <row r="30" spans="1:11" ht="12.75">
      <c r="A30" s="17" t="s">
        <v>3</v>
      </c>
      <c r="B30" s="85">
        <f>+'Dati scambiatore a piastre 2'!B45</f>
        <v>0.7454544273891994</v>
      </c>
      <c r="C30" s="35"/>
      <c r="E30" s="221">
        <f>+B35</f>
        <v>60</v>
      </c>
      <c r="I30" s="217">
        <f>+B41</f>
        <v>48.669885893202746</v>
      </c>
      <c r="K30" s="21">
        <f>((I30-20)*I35)/8460</f>
        <v>6.77775080217559</v>
      </c>
    </row>
    <row r="31" spans="1:3" ht="12.75">
      <c r="A31" s="83" t="s">
        <v>20</v>
      </c>
      <c r="B31" s="84">
        <f>+'Dati scambiatore a piastre 2'!B46</f>
        <v>73664.1545875896</v>
      </c>
      <c r="C31" s="27">
        <f>+B31/1.163</f>
        <v>63339.7717864055</v>
      </c>
    </row>
    <row r="32" spans="1:3" ht="4.5" customHeight="1">
      <c r="A32" s="15"/>
      <c r="B32" s="11"/>
      <c r="C32" s="36"/>
    </row>
    <row r="33" spans="1:3" ht="12.75">
      <c r="A33" s="127" t="s">
        <v>7</v>
      </c>
      <c r="B33" s="11"/>
      <c r="C33" s="36"/>
    </row>
    <row r="34" spans="1:9" ht="12.75">
      <c r="A34" s="17" t="s">
        <v>22</v>
      </c>
      <c r="B34" s="131">
        <f>+'Dati scambiatore a piastre 2'!B49</f>
        <v>32.05454037773558</v>
      </c>
      <c r="C34" s="36"/>
      <c r="E34" s="89" t="s">
        <v>149</v>
      </c>
      <c r="I34" s="89" t="s">
        <v>149</v>
      </c>
    </row>
    <row r="35" spans="1:9" ht="12.75">
      <c r="A35" s="18" t="s">
        <v>16</v>
      </c>
      <c r="B35" s="123">
        <f>+'Dati scambiatore a piastre 2'!B50</f>
        <v>60</v>
      </c>
      <c r="C35" s="36"/>
      <c r="E35" s="218">
        <f>+B8</f>
        <v>1976</v>
      </c>
      <c r="I35" s="219">
        <f>+B20</f>
        <v>2000</v>
      </c>
    </row>
    <row r="36" spans="1:3" ht="12.75">
      <c r="A36" s="19" t="s">
        <v>21</v>
      </c>
      <c r="B36" s="125">
        <f>+'Dati scambiatore a piastre 2'!B51</f>
        <v>27.945459622264423</v>
      </c>
      <c r="C36" s="36"/>
    </row>
    <row r="37" spans="1:3" ht="4.5" customHeight="1">
      <c r="A37" s="15"/>
      <c r="B37" s="11"/>
      <c r="C37" s="36"/>
    </row>
    <row r="38" spans="1:3" ht="12.75">
      <c r="A38" s="128" t="s">
        <v>8</v>
      </c>
      <c r="B38" s="11"/>
      <c r="C38" s="36"/>
    </row>
    <row r="39" spans="1:9" ht="12.75">
      <c r="A39" s="17" t="s">
        <v>22</v>
      </c>
      <c r="B39" s="131">
        <f>+'Dati scambiatore a piastre 2'!B54</f>
        <v>31.66988589320275</v>
      </c>
      <c r="C39" s="36"/>
      <c r="E39" s="89" t="s">
        <v>148</v>
      </c>
      <c r="I39" s="89" t="s">
        <v>148</v>
      </c>
    </row>
    <row r="40" spans="1:9" ht="12.75">
      <c r="A40" s="18" t="s">
        <v>16</v>
      </c>
      <c r="B40" s="126">
        <f>+'Dati scambiatore a piastre 2'!B55</f>
        <v>17</v>
      </c>
      <c r="C40" s="36"/>
      <c r="E40" s="215">
        <f>+B36</f>
        <v>27.945459622264423</v>
      </c>
      <c r="I40" s="216">
        <f>+B40</f>
        <v>17</v>
      </c>
    </row>
    <row r="41" spans="1:3" ht="13.5" thickBot="1">
      <c r="A41" s="20" t="s">
        <v>21</v>
      </c>
      <c r="B41" s="124">
        <f>+'Dati scambiatore a piastre 2'!B56</f>
        <v>48.669885893202746</v>
      </c>
      <c r="C41" s="37"/>
    </row>
    <row r="42" spans="1:9" ht="21" customHeight="1">
      <c r="A42" s="220"/>
      <c r="B42" s="220"/>
      <c r="C42" s="220"/>
      <c r="D42" s="220"/>
      <c r="E42" s="220"/>
      <c r="F42" s="220"/>
      <c r="G42" s="220"/>
      <c r="H42" s="220"/>
      <c r="I42" s="220"/>
    </row>
    <row r="43" ht="21" customHeight="1" thickBot="1"/>
    <row r="44" spans="1:11" ht="12.75">
      <c r="A44" s="82" t="s">
        <v>15</v>
      </c>
      <c r="B44" s="24"/>
      <c r="C44" s="25"/>
      <c r="E44" s="89" t="s">
        <v>148</v>
      </c>
      <c r="I44" s="89" t="s">
        <v>148</v>
      </c>
      <c r="K44" s="224" t="s">
        <v>152</v>
      </c>
    </row>
    <row r="45" spans="1:11" ht="12.75">
      <c r="A45" s="17" t="s">
        <v>44</v>
      </c>
      <c r="B45" s="85">
        <f>+'Dati scambiatore a piastre 2'!B59</f>
        <v>0.5013717018610699</v>
      </c>
      <c r="C45" s="26"/>
      <c r="E45" s="221">
        <f>+B50</f>
        <v>60</v>
      </c>
      <c r="I45" s="222">
        <f>+B55</f>
        <v>17</v>
      </c>
      <c r="K45" s="21">
        <f>((I55-20)*I50)/8460</f>
        <v>4.326306236847683</v>
      </c>
    </row>
    <row r="46" spans="1:9" ht="12.75">
      <c r="A46" s="17" t="s">
        <v>20</v>
      </c>
      <c r="B46" s="84">
        <f>+'Dati scambiatore a piastre 2'!B60</f>
        <v>49544.44053821961</v>
      </c>
      <c r="C46" s="27">
        <f>+B46/1.163</f>
        <v>42600.55076373139</v>
      </c>
      <c r="E46" s="90"/>
      <c r="I46" s="90"/>
    </row>
    <row r="47" spans="1:9" ht="4.5" customHeight="1">
      <c r="A47" s="22"/>
      <c r="B47" s="29"/>
      <c r="C47" s="26"/>
      <c r="E47" s="90"/>
      <c r="I47" s="90"/>
    </row>
    <row r="48" spans="1:9" ht="12.75">
      <c r="A48" s="129" t="s">
        <v>7</v>
      </c>
      <c r="B48" s="28"/>
      <c r="C48" s="26"/>
      <c r="E48" s="90"/>
      <c r="I48" s="90"/>
    </row>
    <row r="49" spans="1:9" ht="12.75">
      <c r="A49" s="17" t="s">
        <v>22</v>
      </c>
      <c r="B49" s="122">
        <f>+'Dati scambiatore a piastre 2'!B63</f>
        <v>21.558983180026008</v>
      </c>
      <c r="C49" s="26"/>
      <c r="E49" s="89" t="s">
        <v>149</v>
      </c>
      <c r="I49" s="89" t="s">
        <v>149</v>
      </c>
    </row>
    <row r="50" spans="1:9" ht="12.75">
      <c r="A50" s="18" t="s">
        <v>16</v>
      </c>
      <c r="B50" s="123">
        <f>+'Dati scambiatore a piastre 2'!B64</f>
        <v>60</v>
      </c>
      <c r="C50" s="26"/>
      <c r="E50" s="218">
        <f>+B8</f>
        <v>1976</v>
      </c>
      <c r="I50" s="223">
        <f>+B20</f>
        <v>2000</v>
      </c>
    </row>
    <row r="51" spans="1:9" ht="12.75">
      <c r="A51" s="19" t="s">
        <v>21</v>
      </c>
      <c r="B51" s="125">
        <f>+'Dati scambiatore a piastre 2'!B65</f>
        <v>38.441016819973996</v>
      </c>
      <c r="C51" s="26"/>
      <c r="E51" s="90"/>
      <c r="I51" s="90"/>
    </row>
    <row r="52" spans="1:9" ht="3.75" customHeight="1">
      <c r="A52" s="16"/>
      <c r="B52" s="28"/>
      <c r="C52" s="26"/>
      <c r="E52" s="90"/>
      <c r="I52" s="90"/>
    </row>
    <row r="53" spans="1:9" ht="12.75">
      <c r="A53" s="130" t="s">
        <v>8</v>
      </c>
      <c r="B53" s="28"/>
      <c r="C53" s="26"/>
      <c r="E53" s="90"/>
      <c r="I53" s="90"/>
    </row>
    <row r="54" spans="1:9" ht="12.75">
      <c r="A54" s="17" t="s">
        <v>22</v>
      </c>
      <c r="B54" s="122">
        <f>+'Dati scambiatore a piastre 2'!B68</f>
        <v>21.300275381865696</v>
      </c>
      <c r="C54" s="26"/>
      <c r="E54" s="89" t="s">
        <v>148</v>
      </c>
      <c r="I54" s="89" t="s">
        <v>148</v>
      </c>
    </row>
    <row r="55" spans="1:9" ht="12.75">
      <c r="A55" s="18" t="s">
        <v>16</v>
      </c>
      <c r="B55" s="126">
        <f>+'Dati scambiatore a piastre 2'!B69</f>
        <v>17</v>
      </c>
      <c r="C55" s="26"/>
      <c r="E55" s="215">
        <f>+B51</f>
        <v>38.441016819973996</v>
      </c>
      <c r="I55" s="217">
        <f>+B56</f>
        <v>38.300275381865696</v>
      </c>
    </row>
    <row r="56" spans="1:3" ht="13.5" thickBot="1">
      <c r="A56" s="20" t="s">
        <v>21</v>
      </c>
      <c r="B56" s="124">
        <f>+'Dati scambiatore a piastre 2'!B70</f>
        <v>38.300275381865696</v>
      </c>
      <c r="C56" s="30"/>
    </row>
  </sheetData>
  <sheetProtection/>
  <dataValidations count="9">
    <dataValidation type="decimal" allowBlank="1" showInputMessage="1" showErrorMessage="1" promptTitle="Temperatura fluido secondario" prompt="Inserire la temperatura (°C) del fluido termovettore (da 0 a 100 °C)" errorTitle="Attenzione" error="Inserire un valore compreso tra 0 e 100!" sqref="B22">
      <formula1>0</formula1>
      <formula2>100</formula2>
    </dataValidation>
    <dataValidation type="decimal" allowBlank="1" showInputMessage="1" showErrorMessage="1" promptTitle="Fattore di sporcamento" prompt="Inserire il fattore di sporcamento (mqK/W) lato secondario (da 0 a 0,0020; es. 0,00003)" errorTitle="Attenzione" error="Inserire un valore compreso tra 0 e 0,0020" sqref="B23">
      <formula1>0</formula1>
      <formula2>0.002</formula2>
    </dataValidation>
    <dataValidation type="list" allowBlank="1" showInputMessage="1" showErrorMessage="1" promptTitle="Fluido secondario" prompt="Selezionare il fluido secondario" errorTitle="Attenzione" error="Fluido secondario errato!" sqref="A18">
      <formula1>Secondario</formula1>
    </dataValidation>
    <dataValidation type="whole" allowBlank="1" showInputMessage="1" showErrorMessage="1" promptTitle="Portata fluido secondario" prompt="Inserire la portata (kg/h) del fluido termovettore" errorTitle="Attenzione" error="Valore immesso troppo elevato!" sqref="B20">
      <formula1>0</formula1>
      <formula2>100000</formula2>
    </dataValidation>
    <dataValidation type="decimal" allowBlank="1" showInputMessage="1" showErrorMessage="1" promptTitle="Temperatura fluido primario" prompt="Inserire la temperatura (°C) del fluido termovettore (da 0 a 100 °C)" errorTitle="Attenzione" error="Inserire un valore compreso tra 0 e 100!" sqref="B10">
      <formula1>0</formula1>
      <formula2>100</formula2>
    </dataValidation>
    <dataValidation type="decimal" allowBlank="1" showInputMessage="1" showErrorMessage="1" promptTitle="Fattore di sporcamento" prompt="Inserire il fattore di sporcamento (mqK/W) lato primario (da 0 a 0,0020; es. 0,00003)" errorTitle="Attenzione" error="Inserire un valore compreso tra 0 e 0,0020" sqref="B11">
      <formula1>0</formula1>
      <formula2>0.002</formula2>
    </dataValidation>
    <dataValidation type="list" allowBlank="1" showInputMessage="1" showErrorMessage="1" promptTitle="Modello di scambiatore a piastre" prompt="Inserire il modello di scambiatore a piastre" errorTitle="Attenzione" error="Inserimento errato!" sqref="B2">
      <formula1>Modello</formula1>
    </dataValidation>
    <dataValidation type="list" allowBlank="1" showInputMessage="1" showErrorMessage="1" promptTitle="Fluido primario" prompt="Selezionare il fluido primario" errorTitle="Attenzione" error="Fluido primario errato!" sqref="A6">
      <formula1>Primario</formula1>
    </dataValidation>
    <dataValidation type="whole" allowBlank="1" showInputMessage="1" showErrorMessage="1" promptTitle="Portata fluido primario" prompt="Inserire la portata (kg/h) del fluido termovettore" errorTitle="Attenzione" error="Valore immesso troppo elevato!" sqref="B8">
      <formula1>0</formula1>
      <formula2>100000</formula2>
    </dataValidation>
  </dataValidations>
  <printOptions/>
  <pageMargins left="0.75" right="0.75" top="1" bottom="1" header="0.5" footer="0.5"/>
  <pageSetup horizontalDpi="96" verticalDpi="96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7.7109375" style="21" customWidth="1"/>
    <col min="2" max="2" width="11.00390625" style="21" customWidth="1"/>
    <col min="3" max="3" width="10.140625" style="21" customWidth="1"/>
    <col min="4" max="16384" width="9.140625" style="21" customWidth="1"/>
  </cols>
  <sheetData>
    <row r="1" spans="1:3" ht="12.75">
      <c r="A1" s="45" t="s">
        <v>23</v>
      </c>
      <c r="B1" s="46"/>
      <c r="C1" s="46"/>
    </row>
    <row r="2" spans="1:3" ht="12.75">
      <c r="A2" s="47"/>
      <c r="B2" s="48"/>
      <c r="C2" s="46"/>
    </row>
    <row r="3" spans="1:3" ht="12.75">
      <c r="A3" s="45" t="s">
        <v>37</v>
      </c>
      <c r="B3" s="48">
        <f>+'Dati scambiatore a piastre 1'!B3</f>
        <v>6614.552658349842</v>
      </c>
      <c r="C3" s="46"/>
    </row>
    <row r="4" spans="1:3" ht="12.75">
      <c r="A4" s="45" t="s">
        <v>90</v>
      </c>
      <c r="B4" s="134">
        <f>+Modelli!P28</f>
        <v>3.2944</v>
      </c>
      <c r="C4" s="46"/>
    </row>
    <row r="5" spans="1:3" ht="12.75">
      <c r="A5" s="12"/>
      <c r="B5" s="47"/>
      <c r="C5" s="46"/>
    </row>
    <row r="6" spans="1:3" ht="12.75">
      <c r="A6" s="45" t="s">
        <v>7</v>
      </c>
      <c r="C6" s="46"/>
    </row>
    <row r="7" spans="1:3" ht="12.75">
      <c r="A7" s="49" t="str">
        <f>+'Dati scambiatore a piastre 1'!A6</f>
        <v>100 % Acqua (temperatura di protezione = 0 °C)</v>
      </c>
      <c r="B7" s="50"/>
      <c r="C7" s="46"/>
    </row>
    <row r="8" spans="1:3" ht="12.75">
      <c r="A8" s="51" t="s">
        <v>11</v>
      </c>
      <c r="B8" s="52">
        <f>+Primario!I12</f>
        <v>1</v>
      </c>
      <c r="C8" s="46"/>
    </row>
    <row r="9" spans="1:3" ht="12.75">
      <c r="A9" s="12" t="s">
        <v>131</v>
      </c>
      <c r="B9" s="48">
        <f>+'Dati scambiatore a piastre 1'!B8</f>
        <v>1976</v>
      </c>
      <c r="C9" s="46"/>
    </row>
    <row r="10" spans="1:3" ht="12.75">
      <c r="A10" s="12" t="s">
        <v>139</v>
      </c>
      <c r="B10" s="203">
        <f>+B9/60</f>
        <v>32.93333333333333</v>
      </c>
      <c r="C10" s="46"/>
    </row>
    <row r="11" spans="1:3" ht="12.75">
      <c r="A11" s="12" t="s">
        <v>12</v>
      </c>
      <c r="B11" s="53">
        <f>+B8*B9</f>
        <v>1976</v>
      </c>
      <c r="C11" s="46"/>
    </row>
    <row r="12" spans="1:3" ht="12.75">
      <c r="A12" s="12" t="s">
        <v>16</v>
      </c>
      <c r="B12" s="87">
        <f>+'Dati scambiatore a piastre 1'!B10</f>
        <v>60</v>
      </c>
      <c r="C12" s="46"/>
    </row>
    <row r="13" spans="1:3" ht="12.75">
      <c r="A13" s="12" t="s">
        <v>145</v>
      </c>
      <c r="B13" s="209">
        <f>+((1000.18576+0.007136*B12-0.005718*B12^2+0.00001468*B12^3)/1000)*Primario!L12</f>
        <v>0.9832000000000001</v>
      </c>
      <c r="C13" s="46"/>
    </row>
    <row r="14" spans="1:3" ht="12.75">
      <c r="A14" s="12" t="s">
        <v>142</v>
      </c>
      <c r="B14" s="210" t="str">
        <f>+Modelli!C28</f>
        <v>M 1"</v>
      </c>
      <c r="C14" s="46"/>
    </row>
    <row r="15" spans="1:3" ht="12.75">
      <c r="A15" s="12" t="s">
        <v>140</v>
      </c>
      <c r="B15" s="210">
        <f>+Modelli!D28</f>
        <v>24.4</v>
      </c>
      <c r="C15" s="46"/>
    </row>
    <row r="16" spans="1:3" ht="12.75">
      <c r="A16" s="12" t="s">
        <v>143</v>
      </c>
      <c r="B16" s="211">
        <f>+((B9/B13)/3600000)/((3.14159*(B15/1000)^2)/4)</f>
        <v>1.193914982993707</v>
      </c>
      <c r="C16" s="46"/>
    </row>
    <row r="17" spans="1:3" ht="14.25">
      <c r="A17" s="12" t="s">
        <v>137</v>
      </c>
      <c r="B17" s="200">
        <f>+'Dati scambiatore a piastre 1'!B11</f>
        <v>3E-05</v>
      </c>
      <c r="C17" s="46"/>
    </row>
    <row r="18" spans="1:3" ht="12.75">
      <c r="A18" s="12" t="s">
        <v>41</v>
      </c>
      <c r="B18" s="88">
        <f>+Primario!K15*Primario!K12*(B9/1000)^2/(Modelli!AE28)^2</f>
        <v>0.008979564103083492</v>
      </c>
      <c r="C18" s="54">
        <f>+B18*100/9.806</f>
        <v>0.0915721405576534</v>
      </c>
    </row>
    <row r="19" spans="1:3" ht="12.75">
      <c r="A19" s="12"/>
      <c r="B19" s="47"/>
      <c r="C19" s="46"/>
    </row>
    <row r="20" spans="1:3" ht="12.75">
      <c r="A20" s="45" t="s">
        <v>8</v>
      </c>
      <c r="C20" s="46"/>
    </row>
    <row r="21" spans="1:3" ht="12.75">
      <c r="A21" s="45" t="str">
        <f>+'Dati scambiatore a piastre 1'!A18</f>
        <v>100 % Acqua (temperatura di protezione = 0 °C)</v>
      </c>
      <c r="C21" s="46"/>
    </row>
    <row r="22" spans="1:3" ht="12.75">
      <c r="A22" s="51" t="s">
        <v>11</v>
      </c>
      <c r="B22" s="52">
        <f>+Secondario!I12</f>
        <v>1</v>
      </c>
      <c r="C22" s="46"/>
    </row>
    <row r="23" spans="1:3" ht="12.75">
      <c r="A23" s="12" t="s">
        <v>131</v>
      </c>
      <c r="B23" s="48">
        <f>+'Dati scambiatore a piastre 1'!B20</f>
        <v>2000</v>
      </c>
      <c r="C23" s="46"/>
    </row>
    <row r="24" spans="1:3" ht="12.75">
      <c r="A24" s="12" t="s">
        <v>139</v>
      </c>
      <c r="B24" s="203">
        <f>+B23/60</f>
        <v>33.333333333333336</v>
      </c>
      <c r="C24" s="46"/>
    </row>
    <row r="25" spans="1:3" ht="12.75">
      <c r="A25" s="12" t="s">
        <v>12</v>
      </c>
      <c r="B25" s="53">
        <f>+B22*B23</f>
        <v>2000</v>
      </c>
      <c r="C25" s="46"/>
    </row>
    <row r="26" spans="1:3" ht="12.75">
      <c r="A26" s="12" t="s">
        <v>16</v>
      </c>
      <c r="B26" s="87">
        <f>+'Dati scambiatore a piastre 1'!B22</f>
        <v>17</v>
      </c>
      <c r="C26" s="46"/>
    </row>
    <row r="27" spans="1:3" ht="12.75">
      <c r="A27" s="12" t="s">
        <v>145</v>
      </c>
      <c r="B27" s="209">
        <f>+((1000.18576+0.007136*B26-0.005718*B26^2+0.00001468*B26^3)/1000)*Secondario!L12</f>
        <v>0.9987266928399999</v>
      </c>
      <c r="C27" s="46"/>
    </row>
    <row r="28" spans="1:3" ht="12.75">
      <c r="A28" s="12" t="s">
        <v>142</v>
      </c>
      <c r="B28" s="210" t="str">
        <f>+Modelli!E28</f>
        <v>M 1"</v>
      </c>
      <c r="C28" s="46"/>
    </row>
    <row r="29" spans="1:3" ht="12.75">
      <c r="A29" s="12" t="s">
        <v>141</v>
      </c>
      <c r="B29" s="210">
        <f>+Modelli!F28</f>
        <v>24.4</v>
      </c>
      <c r="C29" s="46"/>
    </row>
    <row r="30" spans="1:3" ht="12.75">
      <c r="A30" s="12" t="s">
        <v>143</v>
      </c>
      <c r="B30" s="211">
        <f>+((B23/B27)/3600000)/((3.14159*(B29/1000)^2)/4)</f>
        <v>1.189629349884149</v>
      </c>
      <c r="C30" s="46"/>
    </row>
    <row r="31" spans="1:3" ht="14.25">
      <c r="A31" s="12" t="s">
        <v>136</v>
      </c>
      <c r="B31" s="200">
        <f>+'Dati scambiatore a piastre 1'!B23</f>
        <v>2E-05</v>
      </c>
      <c r="C31" s="46"/>
    </row>
    <row r="32" spans="1:3" ht="12.75">
      <c r="A32" s="12" t="s">
        <v>41</v>
      </c>
      <c r="B32" s="88">
        <f>+Secondario!K15*Secondario!K12*(B23/1000)^2/(Modelli!AE28)^2</f>
        <v>0.009724409482905406</v>
      </c>
      <c r="C32" s="54">
        <f>+B32*100/9.806</f>
        <v>0.0991679531195738</v>
      </c>
    </row>
    <row r="33" spans="1:3" ht="12.75">
      <c r="A33" s="46"/>
      <c r="B33" s="46"/>
      <c r="C33" s="46"/>
    </row>
    <row r="34" spans="1:3" ht="12.75">
      <c r="A34" s="47" t="s">
        <v>122</v>
      </c>
      <c r="B34" s="47">
        <f>+IF(B11&gt;=B25,-1,1)</f>
        <v>1</v>
      </c>
      <c r="C34" s="46"/>
    </row>
    <row r="35" spans="1:3" ht="12.75">
      <c r="A35" s="47" t="s">
        <v>127</v>
      </c>
      <c r="B35" s="47">
        <f>+IF(B12&gt;B26,1,-1)</f>
        <v>1</v>
      </c>
      <c r="C35" s="46"/>
    </row>
    <row r="36" spans="1:3" ht="12.75">
      <c r="A36" s="46"/>
      <c r="B36" s="46"/>
      <c r="C36" s="46"/>
    </row>
    <row r="37" spans="1:3" ht="12.75">
      <c r="A37" s="12" t="s">
        <v>1</v>
      </c>
      <c r="B37" s="53">
        <f>+MIN(B11,B25)*1.163</f>
        <v>2298.088</v>
      </c>
      <c r="C37" s="46"/>
    </row>
    <row r="38" spans="1:3" ht="12.75">
      <c r="A38" s="12" t="s">
        <v>2</v>
      </c>
      <c r="B38" s="53">
        <f>+MAX(B11,B25)*1.163</f>
        <v>2326</v>
      </c>
      <c r="C38" s="46"/>
    </row>
    <row r="39" spans="1:3" ht="12.75">
      <c r="A39" s="12" t="s">
        <v>93</v>
      </c>
      <c r="B39" s="55">
        <f>+B3/B37</f>
        <v>2.878285191145788</v>
      </c>
      <c r="C39" s="46"/>
    </row>
    <row r="40" spans="1:3" ht="12.75">
      <c r="A40" s="47" t="s">
        <v>18</v>
      </c>
      <c r="B40" s="47">
        <f>+B37/B38</f>
        <v>0.9880000000000001</v>
      </c>
      <c r="C40" s="46"/>
    </row>
    <row r="41" spans="1:3" ht="12.75">
      <c r="A41" s="47" t="s">
        <v>17</v>
      </c>
      <c r="B41" s="56">
        <f>+ABS(+B12-B26)</f>
        <v>43</v>
      </c>
      <c r="C41" s="46"/>
    </row>
    <row r="42" spans="1:3" ht="12.75">
      <c r="A42" s="47" t="s">
        <v>19</v>
      </c>
      <c r="B42" s="53">
        <f>+B41*B37</f>
        <v>98817.78400000001</v>
      </c>
      <c r="C42" s="53">
        <f>+B42/1.163</f>
        <v>84968.00000000001</v>
      </c>
    </row>
    <row r="43" spans="1:3" ht="13.5" thickBot="1">
      <c r="A43" s="57"/>
      <c r="B43" s="57"/>
      <c r="C43" s="46"/>
    </row>
    <row r="44" spans="1:3" ht="12.75">
      <c r="A44" s="58" t="s">
        <v>14</v>
      </c>
      <c r="B44" s="59"/>
      <c r="C44" s="60"/>
    </row>
    <row r="45" spans="1:3" ht="12.75">
      <c r="A45" s="61" t="s">
        <v>3</v>
      </c>
      <c r="B45" s="62">
        <f>IF(B40=1,+B39/(B39+1),+(1-EXP(-B39*(1-B40)))/(1-B40*EXP(-B39*(1-B40))))</f>
        <v>0.7454544273891994</v>
      </c>
      <c r="C45" s="63"/>
    </row>
    <row r="46" spans="1:3" ht="12.75">
      <c r="A46" s="64" t="s">
        <v>132</v>
      </c>
      <c r="B46" s="48">
        <f>+B45*B42</f>
        <v>73664.1545875896</v>
      </c>
      <c r="C46" s="65">
        <f>+B46/1.163</f>
        <v>63339.7717864055</v>
      </c>
    </row>
    <row r="47" spans="1:3" ht="12.75">
      <c r="A47" s="66"/>
      <c r="B47" s="67"/>
      <c r="C47" s="68"/>
    </row>
    <row r="48" spans="1:3" ht="12.75">
      <c r="A48" s="69" t="s">
        <v>7</v>
      </c>
      <c r="B48" s="67"/>
      <c r="C48" s="68"/>
    </row>
    <row r="49" spans="1:3" ht="12.75">
      <c r="A49" s="64" t="s">
        <v>22</v>
      </c>
      <c r="B49" s="55">
        <f>+C46/(B11)</f>
        <v>32.05454037773558</v>
      </c>
      <c r="C49" s="68"/>
    </row>
    <row r="50" spans="1:3" ht="12.75">
      <c r="A50" s="64" t="s">
        <v>125</v>
      </c>
      <c r="B50" s="55">
        <f>+B12</f>
        <v>60</v>
      </c>
      <c r="C50" s="68"/>
    </row>
    <row r="51" spans="1:3" ht="12.75">
      <c r="A51" s="64" t="s">
        <v>123</v>
      </c>
      <c r="B51" s="55">
        <f>IF(B12&lt;B26,+B50+B49,+B50-B49)</f>
        <v>27.945459622264423</v>
      </c>
      <c r="C51" s="68"/>
    </row>
    <row r="52" spans="1:3" ht="12.75">
      <c r="A52" s="66"/>
      <c r="B52" s="67"/>
      <c r="C52" s="68"/>
    </row>
    <row r="53" spans="1:3" ht="12.75">
      <c r="A53" s="69" t="s">
        <v>8</v>
      </c>
      <c r="B53" s="67"/>
      <c r="C53" s="68"/>
    </row>
    <row r="54" spans="1:3" ht="12.75">
      <c r="A54" s="64" t="s">
        <v>22</v>
      </c>
      <c r="B54" s="55">
        <f>+C46/(B25)</f>
        <v>31.66988589320275</v>
      </c>
      <c r="C54" s="68"/>
    </row>
    <row r="55" spans="1:3" ht="12.75">
      <c r="A55" s="64" t="s">
        <v>126</v>
      </c>
      <c r="B55" s="55">
        <f>+B26</f>
        <v>17</v>
      </c>
      <c r="C55" s="68"/>
    </row>
    <row r="56" spans="1:3" ht="13.5" thickBot="1">
      <c r="A56" s="70" t="s">
        <v>124</v>
      </c>
      <c r="B56" s="71">
        <f>IF(B12&gt;B26,+B55+B54,+B55-B54)</f>
        <v>48.669885893202746</v>
      </c>
      <c r="C56" s="72"/>
    </row>
    <row r="57" spans="1:3" ht="13.5" thickBot="1">
      <c r="A57" s="46"/>
      <c r="B57" s="46"/>
      <c r="C57" s="46"/>
    </row>
    <row r="58" spans="1:3" ht="12.75">
      <c r="A58" s="58" t="s">
        <v>15</v>
      </c>
      <c r="B58" s="59"/>
      <c r="C58" s="60"/>
    </row>
    <row r="59" spans="1:3" ht="12.75">
      <c r="A59" s="61" t="s">
        <v>3</v>
      </c>
      <c r="B59" s="62">
        <f>+(1-EXP(-B39*(1+B40)))/(1+B40)</f>
        <v>0.5013717018610699</v>
      </c>
      <c r="C59" s="63"/>
    </row>
    <row r="60" spans="1:3" ht="12.75">
      <c r="A60" s="64" t="s">
        <v>20</v>
      </c>
      <c r="B60" s="48">
        <f>+B59*B42</f>
        <v>49544.44053821961</v>
      </c>
      <c r="C60" s="65">
        <f>+B60/1.163</f>
        <v>42600.55076373139</v>
      </c>
    </row>
    <row r="61" spans="1:3" ht="12.75">
      <c r="A61" s="73"/>
      <c r="B61" s="74"/>
      <c r="C61" s="63"/>
    </row>
    <row r="62" spans="1:3" ht="12.75">
      <c r="A62" s="69" t="s">
        <v>7</v>
      </c>
      <c r="B62" s="67"/>
      <c r="C62" s="63"/>
    </row>
    <row r="63" spans="1:3" ht="12.75">
      <c r="A63" s="64" t="s">
        <v>22</v>
      </c>
      <c r="B63" s="55">
        <f>+C60/B11</f>
        <v>21.558983180026008</v>
      </c>
      <c r="C63" s="63"/>
    </row>
    <row r="64" spans="1:3" ht="12.75">
      <c r="A64" s="64" t="s">
        <v>16</v>
      </c>
      <c r="B64" s="55">
        <f>+B12</f>
        <v>60</v>
      </c>
      <c r="C64" s="63"/>
    </row>
    <row r="65" spans="1:3" ht="12.75">
      <c r="A65" s="64" t="s">
        <v>21</v>
      </c>
      <c r="B65" s="55">
        <f>IF(B12&lt;B26,+B64+B63,+B64-B63)</f>
        <v>38.441016819973996</v>
      </c>
      <c r="C65" s="63"/>
    </row>
    <row r="66" spans="1:3" ht="12.75">
      <c r="A66" s="66"/>
      <c r="B66" s="67"/>
      <c r="C66" s="63"/>
    </row>
    <row r="67" spans="1:3" ht="12.75">
      <c r="A67" s="69" t="s">
        <v>8</v>
      </c>
      <c r="B67" s="67"/>
      <c r="C67" s="63"/>
    </row>
    <row r="68" spans="1:3" ht="12.75">
      <c r="A68" s="64" t="s">
        <v>22</v>
      </c>
      <c r="B68" s="55">
        <f>+C60/B25</f>
        <v>21.300275381865696</v>
      </c>
      <c r="C68" s="63"/>
    </row>
    <row r="69" spans="1:3" ht="12.75">
      <c r="A69" s="64" t="s">
        <v>16</v>
      </c>
      <c r="B69" s="55">
        <f>+B26</f>
        <v>17</v>
      </c>
      <c r="C69" s="63"/>
    </row>
    <row r="70" spans="1:3" ht="13.5" thickBot="1">
      <c r="A70" s="70" t="s">
        <v>21</v>
      </c>
      <c r="B70" s="71">
        <f>IF(B12&gt;B26,+B69+B68,+B69-B68)</f>
        <v>38.300275381865696</v>
      </c>
      <c r="C70" s="75"/>
    </row>
  </sheetData>
  <sheetProtection password="E369" sheet="1"/>
  <printOptions/>
  <pageMargins left="0.75" right="0.75" top="1" bottom="1" header="0.5" footer="0.5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8.57421875" style="0" customWidth="1"/>
    <col min="2" max="3" width="13.7109375" style="133" customWidth="1"/>
    <col min="4" max="4" width="11.140625" style="0" customWidth="1"/>
    <col min="5" max="5" width="16.00390625" style="133" customWidth="1"/>
    <col min="6" max="6" width="11.140625" style="133" customWidth="1"/>
    <col min="7" max="7" width="19.8515625" style="133" customWidth="1"/>
    <col min="8" max="8" width="11.57421875" style="133" customWidth="1"/>
    <col min="9" max="9" width="19.57421875" style="133" customWidth="1"/>
    <col min="10" max="10" width="11.00390625" style="133" customWidth="1"/>
    <col min="11" max="11" width="10.57421875" style="133" customWidth="1"/>
    <col min="12" max="12" width="13.140625" style="0" customWidth="1"/>
    <col min="13" max="13" width="10.140625" style="0" customWidth="1"/>
    <col min="14" max="14" width="13.00390625" style="0" customWidth="1"/>
    <col min="15" max="15" width="10.8515625" style="0" customWidth="1"/>
    <col min="16" max="16" width="14.28125" style="0" customWidth="1"/>
    <col min="17" max="17" width="11.00390625" style="133" customWidth="1"/>
    <col min="18" max="18" width="11.00390625" style="0" customWidth="1"/>
    <col min="19" max="19" width="14.28125" style="0" customWidth="1"/>
    <col min="20" max="20" width="9.8515625" style="0" customWidth="1"/>
    <col min="21" max="21" width="13.57421875" style="0" customWidth="1"/>
    <col min="22" max="23" width="11.140625" style="0" customWidth="1"/>
    <col min="24" max="24" width="10.28125" style="0" customWidth="1"/>
    <col min="25" max="25" width="15.140625" style="0" customWidth="1"/>
    <col min="26" max="26" width="11.140625" style="133" customWidth="1"/>
  </cols>
  <sheetData>
    <row r="1" spans="1:3" ht="12.75">
      <c r="A1" s="144" t="str">
        <f>+'Dati scambiatore a piastre 2'!A6</f>
        <v>Fluido primario</v>
      </c>
      <c r="B1" s="143"/>
      <c r="C1" s="143"/>
    </row>
    <row r="2" spans="1:3" ht="12.75">
      <c r="A2" s="145" t="str">
        <f>+'Dati scambiatore a piastre 2'!A7</f>
        <v>100 % Acqua (temperatura di protezione = 0 °C)</v>
      </c>
      <c r="B2" s="143"/>
      <c r="C2" s="143"/>
    </row>
    <row r="3" spans="1:3" ht="12.75">
      <c r="A3" s="137" t="str">
        <f>+'Dati scambiatore a piastre 2'!A8</f>
        <v>Calore specifico del fluido termovettore (kcal/kg°C)</v>
      </c>
      <c r="B3" s="146">
        <f>+'Dati scambiatore a piastre 2'!B8</f>
        <v>1</v>
      </c>
      <c r="C3" s="187"/>
    </row>
    <row r="4" spans="1:3" ht="12.75">
      <c r="A4" s="137" t="str">
        <f>+'Dati scambiatore a piastre 2'!A9</f>
        <v>Portata fluido termovettore (kg/h) =</v>
      </c>
      <c r="B4" s="147">
        <f>+'Dati scambiatore a piastre 2'!B9</f>
        <v>1976</v>
      </c>
      <c r="C4" s="188"/>
    </row>
    <row r="5" spans="1:3" ht="12.75">
      <c r="A5" s="137" t="str">
        <f>+'Dati scambiatore a piastre 2'!A11</f>
        <v>Capacità termica fluido termovettore (kcal/h°C)</v>
      </c>
      <c r="B5" s="147">
        <f>+'Dati scambiatore a piastre 2'!B11</f>
        <v>1976</v>
      </c>
      <c r="C5" s="188"/>
    </row>
    <row r="6" spans="1:3" ht="12.75">
      <c r="A6" s="137" t="str">
        <f>+'Dati scambiatore a piastre 2'!A12</f>
        <v>Temperatura ingresso fluido termovettore (°C)</v>
      </c>
      <c r="B6" s="146">
        <f>+'Dati scambiatore a piastre 2'!B12</f>
        <v>60</v>
      </c>
      <c r="C6" s="187"/>
    </row>
    <row r="7" spans="1:3" ht="12.75">
      <c r="A7" s="137" t="str">
        <f>+'Dati scambiatore a piastre 2'!A17</f>
        <v>Fattore di sporcamento lato primario (m2K/ W) =</v>
      </c>
      <c r="B7" s="201">
        <f>+'Dati scambiatore a piastre 2'!B17</f>
        <v>3E-05</v>
      </c>
      <c r="C7" s="187"/>
    </row>
    <row r="8" spans="1:3" ht="12.75">
      <c r="A8" s="137" t="str">
        <f>+'Dati scambiatore a piastre 2'!A18</f>
        <v>Perdita di carico (bar - mH2O)</v>
      </c>
      <c r="B8" s="149">
        <f>+'Dati scambiatore a piastre 2'!B18</f>
        <v>0.008979564103083492</v>
      </c>
      <c r="C8" s="149">
        <f>+'Dati scambiatore a piastre 2'!C18</f>
        <v>0.0915721405576534</v>
      </c>
    </row>
    <row r="9" spans="2:3" ht="12.75">
      <c r="B9" s="143"/>
      <c r="C9" s="143"/>
    </row>
    <row r="10" spans="1:3" ht="12.75">
      <c r="A10" s="144" t="str">
        <f>+'Dati scambiatore a piastre 2'!A20</f>
        <v>Fluido secondario</v>
      </c>
      <c r="B10" s="143"/>
      <c r="C10" s="143"/>
    </row>
    <row r="11" spans="1:3" ht="12.75">
      <c r="A11" s="145" t="str">
        <f>+'Dati scambiatore a piastre 2'!A21</f>
        <v>100 % Acqua (temperatura di protezione = 0 °C)</v>
      </c>
      <c r="B11" s="143"/>
      <c r="C11" s="143"/>
    </row>
    <row r="12" spans="1:3" ht="12.75">
      <c r="A12" s="137" t="str">
        <f>+'Dati scambiatore a piastre 2'!A22</f>
        <v>Calore specifico del fluido termovettore (kcal/kg°C)</v>
      </c>
      <c r="B12" s="146">
        <f>+'Dati scambiatore a piastre 2'!B22</f>
        <v>1</v>
      </c>
      <c r="C12" s="187"/>
    </row>
    <row r="13" spans="1:3" ht="12.75">
      <c r="A13" s="137" t="str">
        <f>+'Dati scambiatore a piastre 2'!A23</f>
        <v>Portata fluido termovettore (kg/h) =</v>
      </c>
      <c r="B13" s="147">
        <f>+'Dati scambiatore a piastre 2'!B23</f>
        <v>2000</v>
      </c>
      <c r="C13" s="188"/>
    </row>
    <row r="14" spans="1:3" ht="12.75">
      <c r="A14" s="137" t="str">
        <f>+'Dati scambiatore a piastre 2'!A25</f>
        <v>Capacità termica fluido termovettore (kcal/h°C)</v>
      </c>
      <c r="B14" s="147">
        <f>+'Dati scambiatore a piastre 2'!B25</f>
        <v>2000</v>
      </c>
      <c r="C14" s="188"/>
    </row>
    <row r="15" spans="1:3" ht="12.75">
      <c r="A15" s="137" t="str">
        <f>+'Dati scambiatore a piastre 2'!A26</f>
        <v>Temperatura ingresso fluido termovettore (°C)</v>
      </c>
      <c r="B15" s="146">
        <f>+'Dati scambiatore a piastre 2'!B26</f>
        <v>17</v>
      </c>
      <c r="C15" s="187"/>
    </row>
    <row r="16" spans="1:3" ht="12.75">
      <c r="A16" s="137" t="str">
        <f>+'Dati scambiatore a piastre 2'!A31</f>
        <v>Fattore di sporcamento lato secondario (m2K/ W) =</v>
      </c>
      <c r="B16" s="201">
        <f>+'Dati scambiatore a piastre 2'!B31</f>
        <v>2E-05</v>
      </c>
      <c r="C16" s="187"/>
    </row>
    <row r="17" spans="1:3" ht="12.75">
      <c r="A17" s="137" t="str">
        <f>+'Dati scambiatore a piastre 2'!A32</f>
        <v>Perdita di carico (bar - mH2O)</v>
      </c>
      <c r="B17" s="149">
        <f>+'Dati scambiatore a piastre 2'!B32</f>
        <v>0.009724409482905406</v>
      </c>
      <c r="C17" s="149">
        <f>+'Dati scambiatore a piastre 2'!C32</f>
        <v>0.0991679531195738</v>
      </c>
    </row>
    <row r="18" spans="2:3" ht="12.75">
      <c r="B18" s="143"/>
      <c r="C18" s="143"/>
    </row>
    <row r="19" spans="1:3" ht="12.75">
      <c r="A19" s="47" t="str">
        <f>+'Dati scambiatore a piastre 2'!A34</f>
        <v>Indice moltiplicatore "-KAxM / "-NTU(1-Cmin/Cmax) in controcorrente</v>
      </c>
      <c r="B19" s="148">
        <f>+'Dati scambiatore a piastre 2'!B34</f>
        <v>1</v>
      </c>
      <c r="C19" s="143"/>
    </row>
    <row r="20" spans="1:3" ht="12.75">
      <c r="A20" s="47" t="str">
        <f>+'Dati scambiatore a piastre 2'!A35</f>
        <v>Indice moltiplicatore "t primario &gt; t secondario"</v>
      </c>
      <c r="B20" s="148">
        <f>+'Dati scambiatore a piastre 2'!B35</f>
        <v>1</v>
      </c>
      <c r="C20" s="143"/>
    </row>
    <row r="21" spans="2:3" ht="12.75">
      <c r="B21" s="143"/>
      <c r="C21" s="143"/>
    </row>
    <row r="22" spans="1:3" ht="12.75">
      <c r="A22" s="137" t="str">
        <f>+'Dati scambiatore a piastre 2'!A37</f>
        <v>C min (W/°C)</v>
      </c>
      <c r="B22" s="147">
        <f>+'Dati scambiatore a piastre 2'!B37</f>
        <v>2298.088</v>
      </c>
      <c r="C22" s="188"/>
    </row>
    <row r="23" spans="1:3" ht="12.75">
      <c r="A23" s="137" t="str">
        <f>+'Dati scambiatore a piastre 2'!A38</f>
        <v>C max (W/°C)</v>
      </c>
      <c r="B23" s="147">
        <f>+'Dati scambiatore a piastre 2'!B38</f>
        <v>2326</v>
      </c>
      <c r="C23" s="188"/>
    </row>
    <row r="24" spans="1:3" ht="12.75">
      <c r="A24" s="137" t="str">
        <f>+'Dati scambiatore a piastre 2'!A39</f>
        <v>NTU = UsAs/Cmin (KA/Cmin)</v>
      </c>
      <c r="B24" s="146">
        <f>+'Dati scambiatore a piastre 2'!B39</f>
        <v>2.878285191145788</v>
      </c>
      <c r="C24" s="187"/>
    </row>
    <row r="25" spans="1:3" ht="12.75">
      <c r="A25" s="137" t="str">
        <f>+'Dati scambiatore a piastre 2'!A40</f>
        <v>C = Cmin/Cmax</v>
      </c>
      <c r="B25" s="146">
        <f>+'Dati scambiatore a piastre 2'!B40</f>
        <v>0.9880000000000001</v>
      </c>
      <c r="C25" s="187"/>
    </row>
    <row r="26" spans="1:3" ht="12.75">
      <c r="A26" s="137" t="str">
        <f>+'Dati scambiatore a piastre 2'!A41</f>
        <v>Delta t max teorico (°C)</v>
      </c>
      <c r="B26" s="148">
        <f>+'Dati scambiatore a piastre 2'!B41</f>
        <v>43</v>
      </c>
      <c r="C26" s="189"/>
    </row>
    <row r="27" spans="1:3" ht="12.75">
      <c r="A27" s="148" t="str">
        <f>+'Dati scambiatore a piastre 2'!A42</f>
        <v>Potenza max teorica (W) - (kcal/h) </v>
      </c>
      <c r="B27" s="147">
        <f>+'Dati scambiatore a piastre 2'!B42</f>
        <v>98817.78400000001</v>
      </c>
      <c r="C27" s="147">
        <f>+'Dati scambiatore a piastre 2'!C42</f>
        <v>84968.00000000001</v>
      </c>
    </row>
    <row r="28" spans="1:3" ht="13.5" thickBot="1">
      <c r="A28" s="152"/>
      <c r="B28" s="153"/>
      <c r="C28" s="153"/>
    </row>
    <row r="29" spans="1:7" ht="12.75">
      <c r="A29" s="154" t="str">
        <f>+'Dati scambiatore a piastre 2'!A44</f>
        <v>Controcorrente</v>
      </c>
      <c r="B29" s="176"/>
      <c r="C29" s="177"/>
      <c r="G29" s="167"/>
    </row>
    <row r="30" spans="1:3" ht="12.75">
      <c r="A30" s="155" t="str">
        <f>+'Dati scambiatore a piastre 2'!A45</f>
        <v>Efficienza = Preale / Pmax teorica</v>
      </c>
      <c r="B30" s="151">
        <f>+'Dati scambiatore a piastre 2'!B45</f>
        <v>0.7454544273891994</v>
      </c>
      <c r="C30" s="156"/>
    </row>
    <row r="31" spans="1:3" ht="12.75">
      <c r="A31" s="155" t="str">
        <f>+'Dati scambiatore a piastre 2'!A46</f>
        <v>Potenza reale (W) - (kcal/h) =</v>
      </c>
      <c r="B31" s="147">
        <f>+'Dati scambiatore a piastre 2'!B46</f>
        <v>73664.1545875896</v>
      </c>
      <c r="C31" s="156">
        <f>+'Dati scambiatore a piastre 2'!C46</f>
        <v>63339.7717864055</v>
      </c>
    </row>
    <row r="32" spans="1:3" ht="12.75">
      <c r="A32" s="155" t="s">
        <v>105</v>
      </c>
      <c r="B32" s="169">
        <f>+(1-B25)/B22</f>
        <v>5.221732152989745E-06</v>
      </c>
      <c r="C32" s="156"/>
    </row>
    <row r="33" spans="1:3" ht="12.75">
      <c r="A33" s="155"/>
      <c r="B33" s="170"/>
      <c r="C33" s="156"/>
    </row>
    <row r="34" spans="1:3" ht="12.75">
      <c r="A34" s="157" t="str">
        <f>+'Dati scambiatore a piastre 2'!A48</f>
        <v>Fluido primario</v>
      </c>
      <c r="B34" s="147"/>
      <c r="C34" s="156"/>
    </row>
    <row r="35" spans="1:3" ht="12.75">
      <c r="A35" s="155" t="str">
        <f>+'Dati scambiatore a piastre 2'!A49</f>
        <v>Delta t (°C)</v>
      </c>
      <c r="B35" s="151">
        <f>+'Dati scambiatore a piastre 2'!B49</f>
        <v>32.05454037773558</v>
      </c>
      <c r="C35" s="156"/>
    </row>
    <row r="36" spans="1:3" ht="12.75">
      <c r="A36" s="155" t="str">
        <f>+'Dati scambiatore a piastre 2'!A50</f>
        <v>Temperatura di ingresso fluido primario (°C) =</v>
      </c>
      <c r="B36" s="172">
        <f>+'Dati scambiatore a piastre 2'!B50</f>
        <v>60</v>
      </c>
      <c r="C36" s="156"/>
    </row>
    <row r="37" spans="1:4" ht="12.75">
      <c r="A37" s="155" t="str">
        <f>+'Dati scambiatore a piastre 2'!A51</f>
        <v>Temperatura di uscita fluido primario (°C) =</v>
      </c>
      <c r="B37" s="173">
        <f>+'Dati scambiatore a piastre 2'!B51</f>
        <v>27.945459622264423</v>
      </c>
      <c r="C37" s="156"/>
      <c r="D37" s="133"/>
    </row>
    <row r="38" spans="1:4" ht="12.75">
      <c r="A38" s="155"/>
      <c r="B38" s="147"/>
      <c r="C38" s="156"/>
      <c r="D38" s="133"/>
    </row>
    <row r="39" spans="1:4" ht="12.75">
      <c r="A39" s="157" t="str">
        <f>+'Dati scambiatore a piastre 2'!A53</f>
        <v>Fluido secondario</v>
      </c>
      <c r="B39" s="147"/>
      <c r="C39" s="156"/>
      <c r="D39" s="133"/>
    </row>
    <row r="40" spans="1:4" ht="13.5" thickBot="1">
      <c r="A40" s="155" t="str">
        <f>+'Dati scambiatore a piastre 2'!A54</f>
        <v>Delta t (°C)</v>
      </c>
      <c r="B40" s="151">
        <f>+'Dati scambiatore a piastre 2'!B54</f>
        <v>31.66988589320275</v>
      </c>
      <c r="C40" s="156"/>
      <c r="D40" s="133"/>
    </row>
    <row r="41" spans="1:9" ht="13.5" thickBot="1">
      <c r="A41" s="155" t="str">
        <f>+'Dati scambiatore a piastre 2'!A55</f>
        <v>Temperatura di ingresso fluido secondario (°C) =</v>
      </c>
      <c r="B41" s="174">
        <f>+'Dati scambiatore a piastre 2'!B55</f>
        <v>17</v>
      </c>
      <c r="C41" s="156"/>
      <c r="D41" s="163" t="s">
        <v>102</v>
      </c>
      <c r="F41" s="167"/>
      <c r="G41" s="167"/>
      <c r="H41" s="167"/>
      <c r="I41" s="167"/>
    </row>
    <row r="42" spans="1:9" ht="13.5" thickBot="1">
      <c r="A42" s="158" t="str">
        <f>+'Dati scambiatore a piastre 2'!A56</f>
        <v>Temperatura di uscita fluido secondario (°C) =</v>
      </c>
      <c r="B42" s="175">
        <f>+'Dati scambiatore a piastre 2'!B56</f>
        <v>48.669885893202746</v>
      </c>
      <c r="C42" s="159"/>
      <c r="D42" s="164">
        <f>+ABS(B36-B42)</f>
        <v>11.330114106797254</v>
      </c>
      <c r="F42" s="168"/>
      <c r="G42" s="168"/>
      <c r="H42" s="168"/>
      <c r="I42" s="168"/>
    </row>
    <row r="43" spans="1:4" ht="13.5" thickBot="1">
      <c r="A43" s="160"/>
      <c r="B43" s="161"/>
      <c r="C43" s="161"/>
      <c r="D43" s="161"/>
    </row>
    <row r="44" spans="1:4" ht="12.75">
      <c r="A44" s="162" t="str">
        <f>+'Dati scambiatore a piastre 2'!A58</f>
        <v>Equicorrente</v>
      </c>
      <c r="B44" s="178"/>
      <c r="C44" s="179"/>
      <c r="D44" s="133"/>
    </row>
    <row r="45" spans="1:4" ht="12.75">
      <c r="A45" s="155" t="str">
        <f>+'Dati scambiatore a piastre 2'!A59</f>
        <v>Efficienza = Preale / Pmax teorica</v>
      </c>
      <c r="B45" s="151">
        <f>+'Dati scambiatore a piastre 2'!B59</f>
        <v>0.5013717018610699</v>
      </c>
      <c r="C45" s="156"/>
      <c r="D45" s="133"/>
    </row>
    <row r="46" spans="1:4" ht="12.75">
      <c r="A46" s="155" t="str">
        <f>+'Dati scambiatore a piastre 2'!A60</f>
        <v>Potenza reale (W) - (kcal/h) </v>
      </c>
      <c r="B46" s="147">
        <f>+'Dati scambiatore a piastre 2'!B60</f>
        <v>49544.44053821961</v>
      </c>
      <c r="C46" s="156">
        <f>+'Dati scambiatore a piastre 2'!C60</f>
        <v>42600.55076373139</v>
      </c>
      <c r="D46" s="133"/>
    </row>
    <row r="47" spans="1:4" ht="12.75">
      <c r="A47" s="155" t="s">
        <v>105</v>
      </c>
      <c r="B47" s="169">
        <f>+(1+B25)/B22</f>
        <v>0.0008650669600119751</v>
      </c>
      <c r="C47" s="156"/>
      <c r="D47" s="133"/>
    </row>
    <row r="48" spans="1:4" ht="12.75">
      <c r="A48" s="155"/>
      <c r="B48" s="147"/>
      <c r="C48" s="156"/>
      <c r="D48" s="133"/>
    </row>
    <row r="49" spans="1:4" ht="12.75">
      <c r="A49" s="157" t="str">
        <f>+'Dati scambiatore a piastre 2'!A62</f>
        <v>Fluido primario</v>
      </c>
      <c r="B49" s="147"/>
      <c r="C49" s="156"/>
      <c r="D49" s="133"/>
    </row>
    <row r="50" spans="1:4" ht="12.75">
      <c r="A50" s="155" t="str">
        <f>+'Dati scambiatore a piastre 2'!A63</f>
        <v>Delta t (°C)</v>
      </c>
      <c r="B50" s="151">
        <f>+'Dati scambiatore a piastre 2'!B63</f>
        <v>21.558983180026008</v>
      </c>
      <c r="C50" s="156"/>
      <c r="D50" s="133"/>
    </row>
    <row r="51" spans="1:4" ht="12.75">
      <c r="A51" s="155" t="str">
        <f>+'Dati scambiatore a piastre 2'!A64</f>
        <v>Temperatura ingresso fluido termovettore (°C)</v>
      </c>
      <c r="B51" s="172">
        <f>+'Dati scambiatore a piastre 2'!B64</f>
        <v>60</v>
      </c>
      <c r="C51" s="156"/>
      <c r="D51" s="133"/>
    </row>
    <row r="52" spans="1:4" ht="12.75">
      <c r="A52" s="155" t="str">
        <f>+'Dati scambiatore a piastre 2'!A65</f>
        <v>Temperatura di uscita fluido termovettore (°C)</v>
      </c>
      <c r="B52" s="173">
        <f>+'Dati scambiatore a piastre 2'!B65</f>
        <v>38.441016819973996</v>
      </c>
      <c r="C52" s="156"/>
      <c r="D52" s="133"/>
    </row>
    <row r="53" spans="1:4" ht="12.75">
      <c r="A53" s="155"/>
      <c r="B53" s="147"/>
      <c r="C53" s="156"/>
      <c r="D53" s="133"/>
    </row>
    <row r="54" spans="1:4" ht="12.75">
      <c r="A54" s="157" t="str">
        <f>+'Dati scambiatore a piastre 2'!A67</f>
        <v>Fluido secondario</v>
      </c>
      <c r="B54" s="147"/>
      <c r="C54" s="156"/>
      <c r="D54" s="133"/>
    </row>
    <row r="55" spans="1:4" ht="13.5" thickBot="1">
      <c r="A55" s="155" t="str">
        <f>+'Dati scambiatore a piastre 2'!A68</f>
        <v>Delta t (°C)</v>
      </c>
      <c r="B55" s="151">
        <f>+'Dati scambiatore a piastre 2'!B68</f>
        <v>21.300275381865696</v>
      </c>
      <c r="C55" s="156"/>
      <c r="D55" s="133"/>
    </row>
    <row r="56" spans="1:9" ht="13.5" thickBot="1">
      <c r="A56" s="155" t="str">
        <f>+'Dati scambiatore a piastre 2'!A69</f>
        <v>Temperatura ingresso fluido termovettore (°C)</v>
      </c>
      <c r="B56" s="174">
        <f>+'Dati scambiatore a piastre 2'!B69</f>
        <v>17</v>
      </c>
      <c r="C56" s="156"/>
      <c r="D56" s="163" t="s">
        <v>102</v>
      </c>
      <c r="F56" s="167"/>
      <c r="G56" s="167"/>
      <c r="H56" s="167"/>
      <c r="I56" s="167"/>
    </row>
    <row r="57" spans="1:16" ht="13.5" thickBot="1">
      <c r="A57" s="158" t="str">
        <f>+'Dati scambiatore a piastre 2'!A70</f>
        <v>Temperatura di uscita fluido termovettore (°C)</v>
      </c>
      <c r="B57" s="175">
        <f>+'Dati scambiatore a piastre 2'!B70</f>
        <v>38.300275381865696</v>
      </c>
      <c r="C57" s="159"/>
      <c r="D57" s="164">
        <f>+ABS(B51-B56)</f>
        <v>43</v>
      </c>
      <c r="F57" s="168"/>
      <c r="G57" s="168"/>
      <c r="H57" s="168"/>
      <c r="I57" s="168"/>
      <c r="O57" s="191">
        <f>+B19</f>
        <v>1</v>
      </c>
      <c r="P57" s="137">
        <f>+B20</f>
        <v>1</v>
      </c>
    </row>
    <row r="58" spans="2:3" ht="12.75">
      <c r="B58" s="143"/>
      <c r="C58" s="143"/>
    </row>
    <row r="59" spans="2:26" ht="12.75">
      <c r="B59" s="143"/>
      <c r="C59" s="143"/>
      <c r="F59" s="180"/>
      <c r="G59" s="180" t="s">
        <v>14</v>
      </c>
      <c r="H59" s="181"/>
      <c r="I59" s="181" t="s">
        <v>15</v>
      </c>
      <c r="J59" s="226" t="s">
        <v>14</v>
      </c>
      <c r="K59" s="226"/>
      <c r="L59" s="226"/>
      <c r="M59" s="226"/>
      <c r="N59" s="226"/>
      <c r="O59" s="226"/>
      <c r="P59" s="226"/>
      <c r="Q59" s="230" t="s">
        <v>15</v>
      </c>
      <c r="R59" s="230"/>
      <c r="S59" s="230"/>
      <c r="T59" s="230"/>
      <c r="U59" s="230"/>
      <c r="V59" s="230"/>
      <c r="W59" s="230"/>
      <c r="X59" s="230"/>
      <c r="Y59" s="230"/>
      <c r="Z59" s="230"/>
    </row>
    <row r="60" spans="10:26" ht="12.75">
      <c r="J60" s="135"/>
      <c r="K60" s="135"/>
      <c r="L60" s="137"/>
      <c r="M60" s="225" t="s">
        <v>98</v>
      </c>
      <c r="N60" s="225"/>
      <c r="O60" s="227" t="s">
        <v>100</v>
      </c>
      <c r="P60" s="227"/>
      <c r="T60" s="225" t="s">
        <v>98</v>
      </c>
      <c r="U60" s="225"/>
      <c r="V60" s="228"/>
      <c r="W60" s="229"/>
      <c r="X60" s="227" t="s">
        <v>100</v>
      </c>
      <c r="Y60" s="227"/>
      <c r="Z60" s="171"/>
    </row>
    <row r="61" spans="1:26" ht="12.75">
      <c r="A61" s="133" t="s">
        <v>91</v>
      </c>
      <c r="B61" s="135" t="s">
        <v>90</v>
      </c>
      <c r="C61" s="135" t="s">
        <v>121</v>
      </c>
      <c r="D61" s="135" t="s">
        <v>92</v>
      </c>
      <c r="E61" s="135" t="s">
        <v>94</v>
      </c>
      <c r="F61" s="135" t="s">
        <v>103</v>
      </c>
      <c r="G61" s="135" t="s">
        <v>106</v>
      </c>
      <c r="H61" s="135" t="s">
        <v>103</v>
      </c>
      <c r="I61" s="135" t="s">
        <v>104</v>
      </c>
      <c r="J61" s="135" t="s">
        <v>95</v>
      </c>
      <c r="K61" s="135" t="s">
        <v>96</v>
      </c>
      <c r="L61" s="135" t="s">
        <v>97</v>
      </c>
      <c r="M61" s="150" t="s">
        <v>22</v>
      </c>
      <c r="N61" s="150" t="s">
        <v>119</v>
      </c>
      <c r="O61" s="165" t="s">
        <v>101</v>
      </c>
      <c r="P61" s="150" t="s">
        <v>120</v>
      </c>
      <c r="Q61" s="135" t="s">
        <v>95</v>
      </c>
      <c r="R61" s="135" t="s">
        <v>96</v>
      </c>
      <c r="S61" s="135" t="s">
        <v>97</v>
      </c>
      <c r="T61" s="150" t="s">
        <v>22</v>
      </c>
      <c r="U61" s="150" t="s">
        <v>119</v>
      </c>
      <c r="V61" s="165" t="s">
        <v>101</v>
      </c>
      <c r="W61" s="150" t="s">
        <v>99</v>
      </c>
      <c r="X61" s="150" t="s">
        <v>22</v>
      </c>
      <c r="Y61" s="150" t="s">
        <v>120</v>
      </c>
      <c r="Z61" s="171" t="s">
        <v>101</v>
      </c>
    </row>
    <row r="62" spans="1:26" ht="12.75">
      <c r="A62" s="133">
        <f>+(B72)/10</f>
        <v>0.32944</v>
      </c>
      <c r="B62" s="138">
        <v>0</v>
      </c>
      <c r="C62" s="190">
        <f>+B62/B$72*100</f>
        <v>0</v>
      </c>
      <c r="D62" s="135">
        <f>+(B62/B$72)*D$72</f>
        <v>0</v>
      </c>
      <c r="E62" s="136">
        <f>+D62/B$22</f>
        <v>0</v>
      </c>
      <c r="F62" s="136">
        <f>-D62*B$32</f>
        <v>0</v>
      </c>
      <c r="G62" s="136">
        <f>-(D62/B$22)*(1-B$25)</f>
        <v>0</v>
      </c>
      <c r="H62" s="136">
        <f>-D62*B$47</f>
        <v>0</v>
      </c>
      <c r="I62" s="136">
        <f>-(D62/B$22)*(1+B$25)</f>
        <v>0</v>
      </c>
      <c r="J62" s="136">
        <f>+IF(B$25=1,+E62/(E62+1),+(1-EXP(-E62*(1-B$25)))/(1-B$25*EXP(-E62*(1-B$25))))</f>
        <v>0</v>
      </c>
      <c r="K62" s="139">
        <f aca="true" t="shared" si="0" ref="K62:K72">+J62*B$27</f>
        <v>0</v>
      </c>
      <c r="L62" s="139">
        <f>+K62/1.163</f>
        <v>0</v>
      </c>
      <c r="M62" s="136">
        <f aca="true" t="shared" si="1" ref="M62:M72">+L62/B$5</f>
        <v>0</v>
      </c>
      <c r="N62" s="166">
        <f aca="true" t="shared" si="2" ref="N62:N72">IF(B$6&lt;B$15,+B$6+M62,+B$6-M62)</f>
        <v>60</v>
      </c>
      <c r="O62" s="136">
        <f>+D$42*EXP(+O$57*G62)</f>
        <v>11.330114106797254</v>
      </c>
      <c r="P62" s="166">
        <f>+N62-P$57*O62</f>
        <v>48.669885893202746</v>
      </c>
      <c r="Q62" s="136">
        <f>+(1-EXP(-E62*(1+B$25)))/(1+B$25)</f>
        <v>0</v>
      </c>
      <c r="R62" s="139">
        <f aca="true" t="shared" si="3" ref="R62:R72">+Q62*B$27</f>
        <v>0</v>
      </c>
      <c r="S62" s="139">
        <f>+R62/1.163</f>
        <v>0</v>
      </c>
      <c r="T62" s="136">
        <f aca="true" t="shared" si="4" ref="T62:T72">+S62/B$5</f>
        <v>0</v>
      </c>
      <c r="U62" s="166">
        <f aca="true" t="shared" si="5" ref="U62:U72">IF(B$6&lt;B$15,+B$6+T62,+B$6-T62)</f>
        <v>60</v>
      </c>
      <c r="V62" s="136">
        <f aca="true" t="shared" si="6" ref="V62:V72">+D$57*EXP(I62)</f>
        <v>43</v>
      </c>
      <c r="W62" s="136">
        <f>+U62-V62</f>
        <v>17</v>
      </c>
      <c r="X62" s="136">
        <f aca="true" t="shared" si="7" ref="X62:X72">+S62/B$14</f>
        <v>0</v>
      </c>
      <c r="Y62" s="166">
        <f aca="true" t="shared" si="8" ref="Y62:Y72">IF(B$6&gt;B$15,+B$15+X62,+B$15-X62)</f>
        <v>17</v>
      </c>
      <c r="Z62" s="136">
        <f>+U62-Y62</f>
        <v>43</v>
      </c>
    </row>
    <row r="63" spans="1:26" ht="12.75">
      <c r="A63" s="133"/>
      <c r="B63" s="140">
        <f>+B62+A$62</f>
        <v>0.32944</v>
      </c>
      <c r="C63" s="190">
        <f aca="true" t="shared" si="9" ref="C63:C72">+B63/B$72*100</f>
        <v>10</v>
      </c>
      <c r="D63" s="135">
        <f aca="true" t="shared" si="10" ref="D63:D69">+(B63/B$72)*D$72</f>
        <v>661.4552658349843</v>
      </c>
      <c r="E63" s="136">
        <f aca="true" t="shared" si="11" ref="E63:E72">+D63/B$22</f>
        <v>0.28782851911457885</v>
      </c>
      <c r="F63" s="136">
        <f aca="true" t="shared" si="12" ref="F63:F72">-D63*B$32</f>
        <v>-0.003453942229374917</v>
      </c>
      <c r="G63" s="136">
        <f aca="true" t="shared" si="13" ref="G63:G72">-(D63/B$22)*(1-B$25)</f>
        <v>-0.0034539422293749173</v>
      </c>
      <c r="H63" s="136">
        <f aca="true" t="shared" si="14" ref="H63:H72">-D63*B$47</f>
        <v>-0.5722030959997827</v>
      </c>
      <c r="I63" s="136">
        <f aca="true" t="shared" si="15" ref="I63:I72">-(D63/B$22)*(1+B$25)</f>
        <v>-0.5722030959997828</v>
      </c>
      <c r="J63" s="136">
        <f aca="true" t="shared" si="16" ref="J63:J72">+IF(B$25=1,+E63/(E63+1),+(1-EXP(-E63*(1-B$25)))/(1-B$25*EXP(-E63*(1-B$25))))</f>
        <v>0.22379904376444903</v>
      </c>
      <c r="K63" s="139">
        <f t="shared" si="0"/>
        <v>22115.325566121875</v>
      </c>
      <c r="L63" s="139">
        <f aca="true" t="shared" si="17" ref="L63:L72">+K63/1.163</f>
        <v>19015.75715057771</v>
      </c>
      <c r="M63" s="136">
        <f t="shared" si="1"/>
        <v>9.62335888187131</v>
      </c>
      <c r="N63" s="136">
        <f t="shared" si="2"/>
        <v>50.37664111812869</v>
      </c>
      <c r="O63" s="136">
        <f aca="true" t="shared" si="18" ref="O63:O72">+D$42*EXP(+O$57*G63)</f>
        <v>11.29104805200558</v>
      </c>
      <c r="P63" s="192">
        <f aca="true" t="shared" si="19" ref="P63:P72">+N63-P$57*O63</f>
        <v>39.08559306612311</v>
      </c>
      <c r="Q63" s="136">
        <f aca="true" t="shared" si="20" ref="Q63:Q72">+(1-EXP(-E63*(1+B$25)))/(1+B$25)</f>
        <v>0.2191745959322767</v>
      </c>
      <c r="R63" s="139">
        <f t="shared" si="3"/>
        <v>21658.347879123</v>
      </c>
      <c r="S63" s="139">
        <f aca="true" t="shared" si="21" ref="S63:S72">+R63/1.163</f>
        <v>18622.82706717369</v>
      </c>
      <c r="T63" s="136">
        <f t="shared" si="4"/>
        <v>9.4245076250879</v>
      </c>
      <c r="U63" s="136">
        <f t="shared" si="5"/>
        <v>50.5754923749121</v>
      </c>
      <c r="V63" s="136">
        <f t="shared" si="6"/>
        <v>24.264078841325258</v>
      </c>
      <c r="W63" s="136">
        <f aca="true" t="shared" si="22" ref="W63:W72">+U63-V63</f>
        <v>26.311413533586844</v>
      </c>
      <c r="X63" s="136">
        <f t="shared" si="7"/>
        <v>9.311413533586846</v>
      </c>
      <c r="Y63" s="136">
        <f t="shared" si="8"/>
        <v>26.311413533586844</v>
      </c>
      <c r="Z63" s="136">
        <f aca="true" t="shared" si="23" ref="Z63:Z72">+U63-Y63</f>
        <v>24.264078841325258</v>
      </c>
    </row>
    <row r="64" spans="1:26" ht="12.75">
      <c r="A64" s="133"/>
      <c r="B64" s="140">
        <f aca="true" t="shared" si="24" ref="B64:B69">+B63+A$62</f>
        <v>0.65888</v>
      </c>
      <c r="C64" s="190">
        <f t="shared" si="9"/>
        <v>20</v>
      </c>
      <c r="D64" s="135">
        <f t="shared" si="10"/>
        <v>1322.9105316699686</v>
      </c>
      <c r="E64" s="136">
        <f t="shared" si="11"/>
        <v>0.5756570382291577</v>
      </c>
      <c r="F64" s="136">
        <f t="shared" si="12"/>
        <v>-0.006907884458749834</v>
      </c>
      <c r="G64" s="136">
        <f t="shared" si="13"/>
        <v>-0.0069078844587498345</v>
      </c>
      <c r="H64" s="136">
        <f t="shared" si="14"/>
        <v>-1.1444061919995654</v>
      </c>
      <c r="I64" s="136">
        <f t="shared" si="15"/>
        <v>-1.1444061919995656</v>
      </c>
      <c r="J64" s="136">
        <f t="shared" si="16"/>
        <v>0.3661458139153118</v>
      </c>
      <c r="K64" s="139">
        <f t="shared" si="0"/>
        <v>36181.717951987484</v>
      </c>
      <c r="L64" s="139">
        <f t="shared" si="17"/>
        <v>31110.67751675622</v>
      </c>
      <c r="M64" s="136">
        <f t="shared" si="1"/>
        <v>15.74426999835841</v>
      </c>
      <c r="N64" s="136">
        <f t="shared" si="2"/>
        <v>44.25573000164159</v>
      </c>
      <c r="O64" s="136">
        <f t="shared" si="18"/>
        <v>11.25211669635485</v>
      </c>
      <c r="P64" s="192">
        <f t="shared" si="19"/>
        <v>33.003613305286734</v>
      </c>
      <c r="Q64" s="136">
        <f t="shared" si="20"/>
        <v>0.3428506349024248</v>
      </c>
      <c r="R64" s="139">
        <f t="shared" si="3"/>
        <v>33879.73998405068</v>
      </c>
      <c r="S64" s="139">
        <f t="shared" si="21"/>
        <v>29131.33274638923</v>
      </c>
      <c r="T64" s="136">
        <f t="shared" si="4"/>
        <v>14.742577300804268</v>
      </c>
      <c r="U64" s="136">
        <f t="shared" si="5"/>
        <v>45.25742269919573</v>
      </c>
      <c r="V64" s="136">
        <f t="shared" si="6"/>
        <v>13.691756326001121</v>
      </c>
      <c r="W64" s="136">
        <f t="shared" si="22"/>
        <v>31.56566637319461</v>
      </c>
      <c r="X64" s="136">
        <f t="shared" si="7"/>
        <v>14.565666373194615</v>
      </c>
      <c r="Y64" s="136">
        <f t="shared" si="8"/>
        <v>31.565666373194617</v>
      </c>
      <c r="Z64" s="136">
        <f t="shared" si="23"/>
        <v>13.691756326001112</v>
      </c>
    </row>
    <row r="65" spans="1:26" ht="12.75">
      <c r="A65" s="133"/>
      <c r="B65" s="140">
        <f t="shared" si="24"/>
        <v>0.9883200000000001</v>
      </c>
      <c r="C65" s="190">
        <f t="shared" si="9"/>
        <v>30.000000000000004</v>
      </c>
      <c r="D65" s="135">
        <f t="shared" si="10"/>
        <v>1984.365797504953</v>
      </c>
      <c r="E65" s="136">
        <f t="shared" si="11"/>
        <v>0.8634855573437366</v>
      </c>
      <c r="F65" s="136">
        <f t="shared" si="12"/>
        <v>-0.010361826688124751</v>
      </c>
      <c r="G65" s="136">
        <f t="shared" si="13"/>
        <v>-0.010361826688124753</v>
      </c>
      <c r="H65" s="136">
        <f t="shared" si="14"/>
        <v>-1.7166092879993482</v>
      </c>
      <c r="I65" s="136">
        <f t="shared" si="15"/>
        <v>-1.7166092879993482</v>
      </c>
      <c r="J65" s="136">
        <f t="shared" si="16"/>
        <v>0.4646608416359855</v>
      </c>
      <c r="K65" s="139">
        <f t="shared" si="0"/>
        <v>45916.75468204303</v>
      </c>
      <c r="L65" s="139">
        <f t="shared" si="17"/>
        <v>39481.30239212642</v>
      </c>
      <c r="M65" s="136">
        <f t="shared" si="1"/>
        <v>19.980416190347377</v>
      </c>
      <c r="N65" s="136">
        <f t="shared" si="2"/>
        <v>40.01958380965262</v>
      </c>
      <c r="O65" s="136">
        <f t="shared" si="18"/>
        <v>11.213319575404553</v>
      </c>
      <c r="P65" s="192">
        <f t="shared" si="19"/>
        <v>28.80626423424807</v>
      </c>
      <c r="Q65" s="136">
        <f t="shared" si="20"/>
        <v>0.4126386618874129</v>
      </c>
      <c r="R65" s="139">
        <f t="shared" si="3"/>
        <v>40776.038160439406</v>
      </c>
      <c r="S65" s="139">
        <f t="shared" si="21"/>
        <v>35061.081823249704</v>
      </c>
      <c r="T65" s="136">
        <f t="shared" si="4"/>
        <v>17.743462461158757</v>
      </c>
      <c r="U65" s="136">
        <f t="shared" si="5"/>
        <v>42.25653753884124</v>
      </c>
      <c r="V65" s="136">
        <f t="shared" si="6"/>
        <v>7.725996627216399</v>
      </c>
      <c r="W65" s="136">
        <f t="shared" si="22"/>
        <v>34.53054091162485</v>
      </c>
      <c r="X65" s="136">
        <f t="shared" si="7"/>
        <v>17.53054091162485</v>
      </c>
      <c r="Y65" s="136">
        <f t="shared" si="8"/>
        <v>34.530540911624854</v>
      </c>
      <c r="Z65" s="136">
        <f t="shared" si="23"/>
        <v>7.725996627216389</v>
      </c>
    </row>
    <row r="66" spans="1:26" ht="12.75">
      <c r="A66" s="133"/>
      <c r="B66" s="140">
        <f t="shared" si="24"/>
        <v>1.31776</v>
      </c>
      <c r="C66" s="190">
        <f t="shared" si="9"/>
        <v>40</v>
      </c>
      <c r="D66" s="135">
        <f t="shared" si="10"/>
        <v>2645.821063339937</v>
      </c>
      <c r="E66" s="136">
        <f t="shared" si="11"/>
        <v>1.1513140764583154</v>
      </c>
      <c r="F66" s="136">
        <f t="shared" si="12"/>
        <v>-0.013815768917499667</v>
      </c>
      <c r="G66" s="136">
        <f t="shared" si="13"/>
        <v>-0.013815768917499669</v>
      </c>
      <c r="H66" s="136">
        <f t="shared" si="14"/>
        <v>-2.288812383999131</v>
      </c>
      <c r="I66" s="136">
        <f t="shared" si="15"/>
        <v>-2.2888123839991312</v>
      </c>
      <c r="J66" s="136">
        <f t="shared" si="16"/>
        <v>0.5368878064650637</v>
      </c>
      <c r="K66" s="139">
        <f t="shared" si="0"/>
        <v>53054.06329149848</v>
      </c>
      <c r="L66" s="139">
        <f t="shared" si="17"/>
        <v>45618.28313972354</v>
      </c>
      <c r="M66" s="136">
        <f t="shared" si="1"/>
        <v>23.086175677997744</v>
      </c>
      <c r="N66" s="136">
        <f t="shared" si="2"/>
        <v>36.913824322002256</v>
      </c>
      <c r="O66" s="136">
        <f t="shared" si="18"/>
        <v>11.174656226315554</v>
      </c>
      <c r="P66" s="192">
        <f t="shared" si="19"/>
        <v>25.7391680956867</v>
      </c>
      <c r="Q66" s="136">
        <f t="shared" si="20"/>
        <v>0.45201871279309397</v>
      </c>
      <c r="R66" s="139">
        <f t="shared" si="3"/>
        <v>44667.487524746</v>
      </c>
      <c r="S66" s="139">
        <f t="shared" si="21"/>
        <v>38407.12598860361</v>
      </c>
      <c r="T66" s="136">
        <f t="shared" si="4"/>
        <v>19.436804650103042</v>
      </c>
      <c r="U66" s="136">
        <f t="shared" si="5"/>
        <v>40.56319534989696</v>
      </c>
      <c r="V66" s="136">
        <f t="shared" si="6"/>
        <v>4.359632355595156</v>
      </c>
      <c r="W66" s="136">
        <f t="shared" si="22"/>
        <v>36.203562994301805</v>
      </c>
      <c r="X66" s="136">
        <f t="shared" si="7"/>
        <v>19.203562994301805</v>
      </c>
      <c r="Y66" s="136">
        <f t="shared" si="8"/>
        <v>36.203562994301805</v>
      </c>
      <c r="Z66" s="136">
        <f t="shared" si="23"/>
        <v>4.359632355595153</v>
      </c>
    </row>
    <row r="67" spans="1:26" ht="12.75">
      <c r="A67" s="133"/>
      <c r="B67" s="140">
        <f t="shared" si="24"/>
        <v>1.6472</v>
      </c>
      <c r="C67" s="190">
        <f t="shared" si="9"/>
        <v>50</v>
      </c>
      <c r="D67" s="135">
        <f t="shared" si="10"/>
        <v>3307.276329174921</v>
      </c>
      <c r="E67" s="136">
        <f t="shared" si="11"/>
        <v>1.439142595572894</v>
      </c>
      <c r="F67" s="136">
        <f t="shared" si="12"/>
        <v>-0.017269711146874582</v>
      </c>
      <c r="G67" s="136">
        <f t="shared" si="13"/>
        <v>-0.017269711146874586</v>
      </c>
      <c r="H67" s="136">
        <f t="shared" si="14"/>
        <v>-2.8610154799989136</v>
      </c>
      <c r="I67" s="136">
        <f t="shared" si="15"/>
        <v>-2.861015479998913</v>
      </c>
      <c r="J67" s="136">
        <f t="shared" si="16"/>
        <v>0.5921099759984826</v>
      </c>
      <c r="K67" s="139">
        <f t="shared" si="0"/>
        <v>58510.99571246324</v>
      </c>
      <c r="L67" s="139">
        <f t="shared" si="17"/>
        <v>50310.400440639074</v>
      </c>
      <c r="M67" s="136">
        <f t="shared" si="1"/>
        <v>25.460728967934752</v>
      </c>
      <c r="N67" s="136">
        <f t="shared" si="2"/>
        <v>34.539271032065244</v>
      </c>
      <c r="O67" s="136">
        <f t="shared" si="18"/>
        <v>11.136126187844585</v>
      </c>
      <c r="P67" s="192">
        <f t="shared" si="19"/>
        <v>23.40314484422066</v>
      </c>
      <c r="Q67" s="136">
        <f t="shared" si="20"/>
        <v>0.47424012348962524</v>
      </c>
      <c r="R67" s="139">
        <f t="shared" si="3"/>
        <v>46863.35808713112</v>
      </c>
      <c r="S67" s="139">
        <f t="shared" si="21"/>
        <v>40295.23481266648</v>
      </c>
      <c r="T67" s="136">
        <f t="shared" si="4"/>
        <v>20.392325310053888</v>
      </c>
      <c r="U67" s="136">
        <f t="shared" si="5"/>
        <v>39.60767468994611</v>
      </c>
      <c r="V67" s="136">
        <f t="shared" si="6"/>
        <v>2.460057283612873</v>
      </c>
      <c r="W67" s="136">
        <f t="shared" si="22"/>
        <v>37.14761740633323</v>
      </c>
      <c r="X67" s="136">
        <f t="shared" si="7"/>
        <v>20.14761740633324</v>
      </c>
      <c r="Y67" s="136">
        <f t="shared" si="8"/>
        <v>37.14761740633324</v>
      </c>
      <c r="Z67" s="136">
        <f t="shared" si="23"/>
        <v>2.460057283612869</v>
      </c>
    </row>
    <row r="68" spans="1:26" ht="12.75">
      <c r="A68" s="133"/>
      <c r="B68" s="140">
        <f t="shared" si="24"/>
        <v>1.97664</v>
      </c>
      <c r="C68" s="190">
        <f t="shared" si="9"/>
        <v>60</v>
      </c>
      <c r="D68" s="135">
        <f t="shared" si="10"/>
        <v>3968.731595009905</v>
      </c>
      <c r="E68" s="136">
        <f t="shared" si="11"/>
        <v>1.7269711146874727</v>
      </c>
      <c r="F68" s="136">
        <f t="shared" si="12"/>
        <v>-0.0207236533762495</v>
      </c>
      <c r="G68" s="136">
        <f t="shared" si="13"/>
        <v>-0.0207236533762495</v>
      </c>
      <c r="H68" s="136">
        <f t="shared" si="14"/>
        <v>-3.433218575998696</v>
      </c>
      <c r="I68" s="136">
        <f t="shared" si="15"/>
        <v>-3.4332185759986955</v>
      </c>
      <c r="J68" s="136">
        <f t="shared" si="16"/>
        <v>0.6356999408483605</v>
      </c>
      <c r="K68" s="139">
        <f t="shared" si="0"/>
        <v>62818.45944356607</v>
      </c>
      <c r="L68" s="139">
        <f t="shared" si="17"/>
        <v>54014.1525740035</v>
      </c>
      <c r="M68" s="136">
        <f t="shared" si="1"/>
        <v>27.335097456479502</v>
      </c>
      <c r="N68" s="136">
        <f t="shared" si="2"/>
        <v>32.6649025435205</v>
      </c>
      <c r="O68" s="136">
        <f t="shared" si="18"/>
        <v>11.09772900033874</v>
      </c>
      <c r="P68" s="192">
        <f t="shared" si="19"/>
        <v>21.56717354318176</v>
      </c>
      <c r="Q68" s="136">
        <f t="shared" si="20"/>
        <v>0.48677924118976723</v>
      </c>
      <c r="R68" s="139">
        <f t="shared" si="3"/>
        <v>48102.44591157433</v>
      </c>
      <c r="S68" s="139">
        <f t="shared" si="21"/>
        <v>41360.65856541215</v>
      </c>
      <c r="T68" s="136">
        <f t="shared" si="4"/>
        <v>20.931507371159995</v>
      </c>
      <c r="U68" s="136">
        <f t="shared" si="5"/>
        <v>39.068492628840005</v>
      </c>
      <c r="V68" s="136">
        <f t="shared" si="6"/>
        <v>1.3881633461339355</v>
      </c>
      <c r="W68" s="136">
        <f t="shared" si="22"/>
        <v>37.68032928270607</v>
      </c>
      <c r="X68" s="136">
        <f t="shared" si="7"/>
        <v>20.680329282706076</v>
      </c>
      <c r="Y68" s="136">
        <f t="shared" si="8"/>
        <v>37.680329282706076</v>
      </c>
      <c r="Z68" s="136">
        <f t="shared" si="23"/>
        <v>1.388163346133929</v>
      </c>
    </row>
    <row r="69" spans="1:26" ht="12.75">
      <c r="A69" s="133"/>
      <c r="B69" s="140">
        <f t="shared" si="24"/>
        <v>2.30608</v>
      </c>
      <c r="C69" s="190">
        <f t="shared" si="9"/>
        <v>70</v>
      </c>
      <c r="D69" s="135">
        <f t="shared" si="10"/>
        <v>4630.18686084489</v>
      </c>
      <c r="E69" s="136">
        <f t="shared" si="11"/>
        <v>2.0147996338020517</v>
      </c>
      <c r="F69" s="136">
        <f t="shared" si="12"/>
        <v>-0.02417759560562442</v>
      </c>
      <c r="G69" s="136">
        <f t="shared" si="13"/>
        <v>-0.02417759560562442</v>
      </c>
      <c r="H69" s="136">
        <f t="shared" si="14"/>
        <v>-4.005421671998479</v>
      </c>
      <c r="I69" s="136">
        <f t="shared" si="15"/>
        <v>-4.005421671998479</v>
      </c>
      <c r="J69" s="136">
        <f t="shared" si="16"/>
        <v>0.6709826748481261</v>
      </c>
      <c r="K69" s="139">
        <f t="shared" si="0"/>
        <v>66305.02103088437</v>
      </c>
      <c r="L69" s="139">
        <f t="shared" si="17"/>
        <v>57012.055916495585</v>
      </c>
      <c r="M69" s="136">
        <f t="shared" si="1"/>
        <v>28.852255018469425</v>
      </c>
      <c r="N69" s="136">
        <f t="shared" si="2"/>
        <v>31.147744981530575</v>
      </c>
      <c r="O69" s="136">
        <f t="shared" si="18"/>
        <v>11.059464205729983</v>
      </c>
      <c r="P69" s="192">
        <f t="shared" si="19"/>
        <v>20.08828077580059</v>
      </c>
      <c r="Q69" s="136">
        <f t="shared" si="20"/>
        <v>0.49385482585202084</v>
      </c>
      <c r="R69" s="139">
        <f t="shared" si="3"/>
        <v>48801.639508402615</v>
      </c>
      <c r="S69" s="139">
        <f t="shared" si="21"/>
        <v>41961.85684299451</v>
      </c>
      <c r="T69" s="136">
        <f t="shared" si="4"/>
        <v>21.235757511636898</v>
      </c>
      <c r="U69" s="136">
        <f t="shared" si="5"/>
        <v>38.7642424883631</v>
      </c>
      <c r="V69" s="136">
        <f t="shared" si="6"/>
        <v>0.7833140668658528</v>
      </c>
      <c r="W69" s="136">
        <f t="shared" si="22"/>
        <v>37.98092842149725</v>
      </c>
      <c r="X69" s="136">
        <f t="shared" si="7"/>
        <v>20.980928421497254</v>
      </c>
      <c r="Y69" s="136">
        <f t="shared" si="8"/>
        <v>37.980928421497254</v>
      </c>
      <c r="Z69" s="136">
        <f t="shared" si="23"/>
        <v>0.7833140668658487</v>
      </c>
    </row>
    <row r="70" spans="1:26" ht="12.75">
      <c r="A70" s="133"/>
      <c r="B70" s="140">
        <f>+B69+A$62</f>
        <v>2.63552</v>
      </c>
      <c r="C70" s="190">
        <f>+B70/B$72*100</f>
        <v>80</v>
      </c>
      <c r="D70" s="135">
        <f>+(B70/B$72)*D$72</f>
        <v>5291.642126679874</v>
      </c>
      <c r="E70" s="136">
        <f t="shared" si="11"/>
        <v>2.302628152916631</v>
      </c>
      <c r="F70" s="136">
        <f t="shared" si="12"/>
        <v>-0.027631537834999335</v>
      </c>
      <c r="G70" s="136">
        <f t="shared" si="13"/>
        <v>-0.027631537834999338</v>
      </c>
      <c r="H70" s="136">
        <f t="shared" si="14"/>
        <v>-4.577624767998262</v>
      </c>
      <c r="I70" s="136">
        <f t="shared" si="15"/>
        <v>-4.5776247679982625</v>
      </c>
      <c r="J70" s="136">
        <f t="shared" si="16"/>
        <v>0.700126166834223</v>
      </c>
      <c r="K70" s="139">
        <f t="shared" si="0"/>
        <v>69184.91632697222</v>
      </c>
      <c r="L70" s="139">
        <f t="shared" si="17"/>
        <v>59488.320143570265</v>
      </c>
      <c r="M70" s="136">
        <f t="shared" si="1"/>
        <v>30.10542517387159</v>
      </c>
      <c r="N70" s="136">
        <f t="shared" si="2"/>
        <v>29.89457482612841</v>
      </c>
      <c r="O70" s="136">
        <f t="shared" si="18"/>
        <v>11.021331347529692</v>
      </c>
      <c r="P70" s="192">
        <f t="shared" si="19"/>
        <v>18.873243478598717</v>
      </c>
      <c r="Q70" s="136">
        <f t="shared" si="20"/>
        <v>0.4978474431565183</v>
      </c>
      <c r="R70" s="139">
        <f t="shared" si="3"/>
        <v>49196.18110279311</v>
      </c>
      <c r="S70" s="139">
        <f t="shared" si="21"/>
        <v>42301.10155012305</v>
      </c>
      <c r="T70" s="136">
        <f t="shared" si="4"/>
        <v>21.407440055730287</v>
      </c>
      <c r="U70" s="136">
        <f t="shared" si="5"/>
        <v>38.59255994426971</v>
      </c>
      <c r="V70" s="136">
        <f t="shared" si="6"/>
        <v>0.44200916920819006</v>
      </c>
      <c r="W70" s="136">
        <f t="shared" si="22"/>
        <v>38.15055077506152</v>
      </c>
      <c r="X70" s="136">
        <f t="shared" si="7"/>
        <v>21.150550775061525</v>
      </c>
      <c r="Y70" s="136">
        <f t="shared" si="8"/>
        <v>38.150550775061525</v>
      </c>
      <c r="Z70" s="136">
        <f t="shared" si="23"/>
        <v>0.442009169208184</v>
      </c>
    </row>
    <row r="71" spans="1:26" ht="12.75">
      <c r="A71" s="133"/>
      <c r="B71" s="140">
        <f>+B70+A$62</f>
        <v>2.96496</v>
      </c>
      <c r="C71" s="190">
        <f>+B71/B$72*100</f>
        <v>90</v>
      </c>
      <c r="D71" s="135">
        <f>+(B71/B$72)*D$72</f>
        <v>5953.097392514858</v>
      </c>
      <c r="E71" s="136">
        <f t="shared" si="11"/>
        <v>2.5904566720312094</v>
      </c>
      <c r="F71" s="136">
        <f t="shared" si="12"/>
        <v>-0.03108548006437425</v>
      </c>
      <c r="G71" s="136">
        <f t="shared" si="13"/>
        <v>-0.031085480064374255</v>
      </c>
      <c r="H71" s="136">
        <f t="shared" si="14"/>
        <v>-5.149827863998044</v>
      </c>
      <c r="I71" s="136">
        <f t="shared" si="15"/>
        <v>-5.149827863998044</v>
      </c>
      <c r="J71" s="136">
        <f t="shared" si="16"/>
        <v>0.7246043885389584</v>
      </c>
      <c r="K71" s="139">
        <f t="shared" si="0"/>
        <v>71603.79995209488</v>
      </c>
      <c r="L71" s="139">
        <f t="shared" si="17"/>
        <v>61568.18568537823</v>
      </c>
      <c r="M71" s="136">
        <f t="shared" si="1"/>
        <v>31.157988707175218</v>
      </c>
      <c r="N71" s="136">
        <f t="shared" si="2"/>
        <v>28.842011292824782</v>
      </c>
      <c r="O71" s="136">
        <f t="shared" si="18"/>
        <v>10.983329970823215</v>
      </c>
      <c r="P71" s="192">
        <f t="shared" si="19"/>
        <v>17.858681322001566</v>
      </c>
      <c r="Q71" s="136">
        <f t="shared" si="20"/>
        <v>0.5001004008555779</v>
      </c>
      <c r="R71" s="139">
        <f t="shared" si="3"/>
        <v>49418.81339005992</v>
      </c>
      <c r="S71" s="139">
        <f t="shared" si="21"/>
        <v>42492.530859896746</v>
      </c>
      <c r="T71" s="136">
        <f t="shared" si="4"/>
        <v>21.504317236789852</v>
      </c>
      <c r="U71" s="136">
        <f t="shared" si="5"/>
        <v>38.49568276321015</v>
      </c>
      <c r="V71" s="136">
        <f t="shared" si="6"/>
        <v>0.24941733326177243</v>
      </c>
      <c r="W71" s="136">
        <f t="shared" si="22"/>
        <v>38.24626542994837</v>
      </c>
      <c r="X71" s="136">
        <f t="shared" si="7"/>
        <v>21.246265429948373</v>
      </c>
      <c r="Y71" s="136">
        <f t="shared" si="8"/>
        <v>38.24626542994837</v>
      </c>
      <c r="Z71" s="136">
        <f t="shared" si="23"/>
        <v>0.24941733326177484</v>
      </c>
    </row>
    <row r="72" spans="1:26" ht="12.75">
      <c r="A72" s="133"/>
      <c r="B72" s="141">
        <f>+'Dati scambiatore a piastre 2'!B4</f>
        <v>3.2944</v>
      </c>
      <c r="C72" s="190">
        <f t="shared" si="9"/>
        <v>100</v>
      </c>
      <c r="D72" s="142">
        <f>+'Dati scambiatore a piastre 2'!B3</f>
        <v>6614.552658349842</v>
      </c>
      <c r="E72" s="136">
        <f t="shared" si="11"/>
        <v>2.878285191145788</v>
      </c>
      <c r="F72" s="136">
        <f t="shared" si="12"/>
        <v>-0.034539422293749164</v>
      </c>
      <c r="G72" s="136">
        <f t="shared" si="13"/>
        <v>-0.03453942229374917</v>
      </c>
      <c r="H72" s="136">
        <f t="shared" si="14"/>
        <v>-5.722030959997827</v>
      </c>
      <c r="I72" s="136">
        <f t="shared" si="15"/>
        <v>-5.722030959997826</v>
      </c>
      <c r="J72" s="136">
        <f t="shared" si="16"/>
        <v>0.7454544273891994</v>
      </c>
      <c r="K72" s="139">
        <f t="shared" si="0"/>
        <v>73664.1545875896</v>
      </c>
      <c r="L72" s="139">
        <f t="shared" si="17"/>
        <v>63339.7717864055</v>
      </c>
      <c r="M72" s="136">
        <f t="shared" si="1"/>
        <v>32.05454037773558</v>
      </c>
      <c r="N72" s="166">
        <f t="shared" si="2"/>
        <v>27.945459622264423</v>
      </c>
      <c r="O72" s="136">
        <f t="shared" si="18"/>
        <v>10.945459622264432</v>
      </c>
      <c r="P72" s="166">
        <f t="shared" si="19"/>
        <v>16.999999999999993</v>
      </c>
      <c r="Q72" s="136">
        <f t="shared" si="20"/>
        <v>0.5013717018610699</v>
      </c>
      <c r="R72" s="139">
        <f t="shared" si="3"/>
        <v>49544.44053821961</v>
      </c>
      <c r="S72" s="139">
        <f t="shared" si="21"/>
        <v>42600.55076373139</v>
      </c>
      <c r="T72" s="136">
        <f t="shared" si="4"/>
        <v>21.558983180026008</v>
      </c>
      <c r="U72" s="166">
        <f t="shared" si="5"/>
        <v>38.441016819973996</v>
      </c>
      <c r="V72" s="136">
        <f t="shared" si="6"/>
        <v>0.14074143810829642</v>
      </c>
      <c r="W72" s="136">
        <f t="shared" si="22"/>
        <v>38.3002753818657</v>
      </c>
      <c r="X72" s="136">
        <f t="shared" si="7"/>
        <v>21.300275381865696</v>
      </c>
      <c r="Y72" s="166">
        <f t="shared" si="8"/>
        <v>38.300275381865696</v>
      </c>
      <c r="Z72" s="136">
        <f t="shared" si="23"/>
        <v>0.1407414381083001</v>
      </c>
    </row>
    <row r="74" spans="14:25" ht="12.75">
      <c r="N74" s="150" t="s">
        <v>99</v>
      </c>
      <c r="P74" s="150" t="s">
        <v>99</v>
      </c>
      <c r="U74" s="150" t="s">
        <v>99</v>
      </c>
      <c r="Y74" s="150" t="s">
        <v>99</v>
      </c>
    </row>
  </sheetData>
  <sheetProtection password="E369" sheet="1"/>
  <mergeCells count="7">
    <mergeCell ref="M60:N60"/>
    <mergeCell ref="J59:P59"/>
    <mergeCell ref="T60:U60"/>
    <mergeCell ref="X60:Y60"/>
    <mergeCell ref="O60:P60"/>
    <mergeCell ref="V60:W60"/>
    <mergeCell ref="Q59:Z59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2.28125" style="21" customWidth="1"/>
    <col min="2" max="2" width="14.00390625" style="21" customWidth="1"/>
    <col min="3" max="3" width="12.00390625" style="21" customWidth="1"/>
    <col min="4" max="4" width="13.00390625" style="21" customWidth="1"/>
    <col min="5" max="6" width="13.8515625" style="21" customWidth="1"/>
    <col min="7" max="7" width="13.421875" style="21" customWidth="1"/>
    <col min="8" max="8" width="8.00390625" style="21" customWidth="1"/>
    <col min="9" max="11" width="8.140625" style="21" customWidth="1"/>
    <col min="12" max="12" width="9.00390625" style="21" customWidth="1"/>
    <col min="13" max="13" width="9.8515625" style="21" customWidth="1"/>
    <col min="14" max="14" width="11.28125" style="21" customWidth="1"/>
    <col min="15" max="15" width="13.28125" style="21" customWidth="1"/>
    <col min="16" max="16" width="14.57421875" style="21" customWidth="1"/>
    <col min="17" max="17" width="13.8515625" style="120" customWidth="1"/>
    <col min="18" max="18" width="14.421875" style="21" customWidth="1"/>
    <col min="19" max="19" width="15.8515625" style="21" customWidth="1"/>
    <col min="20" max="20" width="21.57421875" style="21" customWidth="1"/>
    <col min="21" max="21" width="21.8515625" style="21" customWidth="1"/>
    <col min="22" max="22" width="21.7109375" style="21" customWidth="1"/>
    <col min="23" max="23" width="16.57421875" style="21" customWidth="1"/>
    <col min="24" max="24" width="15.7109375" style="21" customWidth="1"/>
    <col min="25" max="25" width="18.28125" style="21" customWidth="1"/>
    <col min="26" max="26" width="18.7109375" style="21" customWidth="1"/>
    <col min="27" max="27" width="14.28125" style="90" customWidth="1"/>
    <col min="28" max="28" width="9.8515625" style="90" customWidth="1"/>
    <col min="29" max="29" width="13.7109375" style="90" customWidth="1"/>
    <col min="30" max="30" width="8.140625" style="90" customWidth="1"/>
    <col min="31" max="31" width="16.8515625" style="90" customWidth="1"/>
    <col min="32" max="16384" width="9.140625" style="21" customWidth="1"/>
  </cols>
  <sheetData>
    <row r="1" spans="16:27" ht="12.75">
      <c r="P1" s="90">
        <v>13</v>
      </c>
      <c r="Q1" s="119">
        <v>3000</v>
      </c>
      <c r="R1" s="119">
        <v>9000</v>
      </c>
      <c r="S1" s="119"/>
      <c r="T1" s="119"/>
      <c r="AA1" s="90" t="s">
        <v>107</v>
      </c>
    </row>
    <row r="2" spans="2:31" ht="12.75">
      <c r="B2" s="103" t="s">
        <v>32</v>
      </c>
      <c r="C2" s="107" t="s">
        <v>61</v>
      </c>
      <c r="D2" s="107" t="s">
        <v>140</v>
      </c>
      <c r="E2" s="107" t="s">
        <v>62</v>
      </c>
      <c r="F2" s="107" t="s">
        <v>141</v>
      </c>
      <c r="G2" s="107" t="s">
        <v>60</v>
      </c>
      <c r="H2" s="107" t="s">
        <v>63</v>
      </c>
      <c r="I2" s="107" t="s">
        <v>64</v>
      </c>
      <c r="J2" s="107" t="s">
        <v>66</v>
      </c>
      <c r="K2" s="107" t="s">
        <v>67</v>
      </c>
      <c r="L2" s="107" t="s">
        <v>65</v>
      </c>
      <c r="M2" s="107" t="s">
        <v>68</v>
      </c>
      <c r="N2" s="104" t="s">
        <v>33</v>
      </c>
      <c r="O2" s="104" t="s">
        <v>34</v>
      </c>
      <c r="P2" s="104" t="s">
        <v>35</v>
      </c>
      <c r="Q2" s="118" t="s">
        <v>71</v>
      </c>
      <c r="R2" s="104" t="s">
        <v>72</v>
      </c>
      <c r="S2" s="104" t="s">
        <v>116</v>
      </c>
      <c r="T2" s="104" t="s">
        <v>110</v>
      </c>
      <c r="U2" s="104" t="s">
        <v>111</v>
      </c>
      <c r="V2" s="104" t="s">
        <v>117</v>
      </c>
      <c r="W2" s="104" t="s">
        <v>112</v>
      </c>
      <c r="X2" s="104" t="s">
        <v>113</v>
      </c>
      <c r="Y2" s="104" t="s">
        <v>114</v>
      </c>
      <c r="Z2" s="103" t="s">
        <v>118</v>
      </c>
      <c r="AA2" s="103" t="s">
        <v>115</v>
      </c>
      <c r="AB2" s="103" t="s">
        <v>36</v>
      </c>
      <c r="AC2" s="103" t="s">
        <v>69</v>
      </c>
      <c r="AD2" s="103" t="s">
        <v>59</v>
      </c>
      <c r="AE2" s="103" t="s">
        <v>70</v>
      </c>
    </row>
    <row r="3" spans="1:31" ht="12.75">
      <c r="A3" s="102" t="str">
        <f>+'Dati scambiatore a piastre 1'!B2</f>
        <v>SPE500 60</v>
      </c>
      <c r="B3" s="108" t="s">
        <v>73</v>
      </c>
      <c r="C3" s="107" t="s">
        <v>56</v>
      </c>
      <c r="D3" s="107">
        <v>14.8</v>
      </c>
      <c r="E3" s="107" t="s">
        <v>58</v>
      </c>
      <c r="F3" s="107">
        <v>12</v>
      </c>
      <c r="G3" s="107">
        <v>10</v>
      </c>
      <c r="H3" s="107">
        <v>207</v>
      </c>
      <c r="I3" s="107">
        <v>77</v>
      </c>
      <c r="J3" s="107">
        <v>172</v>
      </c>
      <c r="K3" s="107">
        <v>42</v>
      </c>
      <c r="L3" s="111">
        <f aca="true" t="shared" si="0" ref="L3:L8">7+G3*2.6</f>
        <v>33</v>
      </c>
      <c r="M3" s="114">
        <f aca="true" t="shared" si="1" ref="M3:M8">0.138+G3*0.062</f>
        <v>0.758</v>
      </c>
      <c r="N3" s="104">
        <f>+G3-2</f>
        <v>8</v>
      </c>
      <c r="O3" s="105">
        <v>0.0125</v>
      </c>
      <c r="P3" s="106">
        <f aca="true" t="shared" si="2" ref="P3:P25">+N3*O3</f>
        <v>0.1</v>
      </c>
      <c r="Q3" s="118">
        <f>+Q$1*P3</f>
        <v>300</v>
      </c>
      <c r="R3" s="118">
        <f>+R$1*P3</f>
        <v>900</v>
      </c>
      <c r="S3" s="118">
        <f>+R3-Q3</f>
        <v>600</v>
      </c>
      <c r="T3" s="182">
        <v>3000</v>
      </c>
      <c r="U3" s="182">
        <v>8400</v>
      </c>
      <c r="V3" s="182"/>
      <c r="W3" s="104"/>
      <c r="X3" s="104"/>
      <c r="Y3" s="104"/>
      <c r="Z3" s="14"/>
      <c r="AA3" s="117">
        <f aca="true" t="shared" si="3" ref="AA3:AA26">+P3*U3</f>
        <v>840</v>
      </c>
      <c r="AB3" s="117"/>
      <c r="AC3" s="121">
        <v>3.1</v>
      </c>
      <c r="AD3" s="104">
        <v>1.162</v>
      </c>
      <c r="AE3" s="104">
        <f>+AC3*AD3</f>
        <v>3.6022</v>
      </c>
    </row>
    <row r="4" spans="2:31" ht="12.75">
      <c r="B4" s="108" t="s">
        <v>74</v>
      </c>
      <c r="C4" s="107" t="s">
        <v>56</v>
      </c>
      <c r="D4" s="107">
        <v>14.8</v>
      </c>
      <c r="E4" s="107" t="s">
        <v>58</v>
      </c>
      <c r="F4" s="107">
        <v>12</v>
      </c>
      <c r="G4" s="107">
        <v>12</v>
      </c>
      <c r="H4" s="107">
        <v>207</v>
      </c>
      <c r="I4" s="107">
        <v>77</v>
      </c>
      <c r="J4" s="107">
        <v>172</v>
      </c>
      <c r="K4" s="107">
        <v>42</v>
      </c>
      <c r="L4" s="111">
        <f t="shared" si="0"/>
        <v>38.2</v>
      </c>
      <c r="M4" s="114">
        <f t="shared" si="1"/>
        <v>0.882</v>
      </c>
      <c r="N4" s="104">
        <f aca="true" t="shared" si="4" ref="N4:N20">+G4-2</f>
        <v>10</v>
      </c>
      <c r="O4" s="105">
        <v>0.0125</v>
      </c>
      <c r="P4" s="106">
        <f t="shared" si="2"/>
        <v>0.125</v>
      </c>
      <c r="Q4" s="118">
        <f aca="true" t="shared" si="5" ref="Q4:Q26">+Q$1*P4</f>
        <v>375</v>
      </c>
      <c r="R4" s="118">
        <f aca="true" t="shared" si="6" ref="R4:R26">+R$1*P4</f>
        <v>1125</v>
      </c>
      <c r="S4" s="118">
        <f aca="true" t="shared" si="7" ref="S4:S28">+R4-Q4</f>
        <v>750</v>
      </c>
      <c r="T4" s="182">
        <v>3000</v>
      </c>
      <c r="U4" s="182">
        <v>8400</v>
      </c>
      <c r="V4" s="182"/>
      <c r="W4" s="104"/>
      <c r="X4" s="104"/>
      <c r="Y4" s="104"/>
      <c r="Z4" s="14"/>
      <c r="AA4" s="117">
        <f t="shared" si="3"/>
        <v>1050</v>
      </c>
      <c r="AB4" s="117"/>
      <c r="AC4" s="121">
        <v>3.9</v>
      </c>
      <c r="AD4" s="104">
        <v>1.162</v>
      </c>
      <c r="AE4" s="104">
        <f aca="true" t="shared" si="8" ref="AE4:AE25">+AC4*AD4</f>
        <v>4.5318</v>
      </c>
    </row>
    <row r="5" spans="2:31" ht="12.75">
      <c r="B5" s="108" t="s">
        <v>75</v>
      </c>
      <c r="C5" s="107" t="s">
        <v>56</v>
      </c>
      <c r="D5" s="107">
        <v>14.8</v>
      </c>
      <c r="E5" s="107" t="s">
        <v>58</v>
      </c>
      <c r="F5" s="107">
        <v>12</v>
      </c>
      <c r="G5" s="107">
        <v>14</v>
      </c>
      <c r="H5" s="107">
        <v>207</v>
      </c>
      <c r="I5" s="107">
        <v>77</v>
      </c>
      <c r="J5" s="107">
        <v>172</v>
      </c>
      <c r="K5" s="107">
        <v>42</v>
      </c>
      <c r="L5" s="111">
        <f t="shared" si="0"/>
        <v>43.4</v>
      </c>
      <c r="M5" s="114">
        <f t="shared" si="1"/>
        <v>1.006</v>
      </c>
      <c r="N5" s="104">
        <f t="shared" si="4"/>
        <v>12</v>
      </c>
      <c r="O5" s="105">
        <v>0.0125</v>
      </c>
      <c r="P5" s="106">
        <f t="shared" si="2"/>
        <v>0.15000000000000002</v>
      </c>
      <c r="Q5" s="118">
        <f t="shared" si="5"/>
        <v>450.00000000000006</v>
      </c>
      <c r="R5" s="118">
        <f t="shared" si="6"/>
        <v>1350.0000000000002</v>
      </c>
      <c r="S5" s="118">
        <f t="shared" si="7"/>
        <v>900.0000000000002</v>
      </c>
      <c r="T5" s="182">
        <v>3000</v>
      </c>
      <c r="U5" s="182">
        <v>8400</v>
      </c>
      <c r="V5" s="182"/>
      <c r="W5" s="104"/>
      <c r="X5" s="104"/>
      <c r="Y5" s="104"/>
      <c r="Z5" s="14"/>
      <c r="AA5" s="117">
        <f t="shared" si="3"/>
        <v>1260.0000000000002</v>
      </c>
      <c r="AB5" s="117"/>
      <c r="AC5" s="121">
        <v>4.5</v>
      </c>
      <c r="AD5" s="104">
        <v>1.162</v>
      </c>
      <c r="AE5" s="104">
        <f t="shared" si="8"/>
        <v>5.228999999999999</v>
      </c>
    </row>
    <row r="6" spans="2:31" ht="12.75">
      <c r="B6" s="108" t="s">
        <v>76</v>
      </c>
      <c r="C6" s="107" t="s">
        <v>56</v>
      </c>
      <c r="D6" s="107">
        <v>14.8</v>
      </c>
      <c r="E6" s="107" t="s">
        <v>58</v>
      </c>
      <c r="F6" s="107">
        <v>12</v>
      </c>
      <c r="G6" s="107">
        <v>16</v>
      </c>
      <c r="H6" s="107">
        <v>207</v>
      </c>
      <c r="I6" s="107">
        <v>77</v>
      </c>
      <c r="J6" s="107">
        <v>172</v>
      </c>
      <c r="K6" s="107">
        <v>42</v>
      </c>
      <c r="L6" s="111">
        <f t="shared" si="0"/>
        <v>48.6</v>
      </c>
      <c r="M6" s="114">
        <f t="shared" si="1"/>
        <v>1.13</v>
      </c>
      <c r="N6" s="104">
        <f t="shared" si="4"/>
        <v>14</v>
      </c>
      <c r="O6" s="105">
        <v>0.0125</v>
      </c>
      <c r="P6" s="106">
        <f t="shared" si="2"/>
        <v>0.17500000000000002</v>
      </c>
      <c r="Q6" s="118">
        <f t="shared" si="5"/>
        <v>525</v>
      </c>
      <c r="R6" s="118">
        <f t="shared" si="6"/>
        <v>1575.0000000000002</v>
      </c>
      <c r="S6" s="118">
        <f t="shared" si="7"/>
        <v>1050.0000000000002</v>
      </c>
      <c r="T6" s="182">
        <v>3000</v>
      </c>
      <c r="U6" s="182">
        <v>8400</v>
      </c>
      <c r="V6" s="182"/>
      <c r="W6" s="104"/>
      <c r="X6" s="104"/>
      <c r="Y6" s="104"/>
      <c r="Z6" s="14"/>
      <c r="AA6" s="117">
        <f t="shared" si="3"/>
        <v>1470.0000000000002</v>
      </c>
      <c r="AB6" s="117"/>
      <c r="AC6" s="121">
        <v>5.2</v>
      </c>
      <c r="AD6" s="104">
        <v>1.162</v>
      </c>
      <c r="AE6" s="104">
        <f t="shared" si="8"/>
        <v>6.0424</v>
      </c>
    </row>
    <row r="7" spans="2:31" ht="12.75">
      <c r="B7" s="108" t="s">
        <v>77</v>
      </c>
      <c r="C7" s="107" t="s">
        <v>56</v>
      </c>
      <c r="D7" s="107">
        <v>14.8</v>
      </c>
      <c r="E7" s="107" t="s">
        <v>58</v>
      </c>
      <c r="F7" s="107">
        <v>12</v>
      </c>
      <c r="G7" s="107">
        <v>20</v>
      </c>
      <c r="H7" s="107">
        <v>207</v>
      </c>
      <c r="I7" s="107">
        <v>77</v>
      </c>
      <c r="J7" s="107">
        <v>172</v>
      </c>
      <c r="K7" s="107">
        <v>42</v>
      </c>
      <c r="L7" s="111">
        <f t="shared" si="0"/>
        <v>59</v>
      </c>
      <c r="M7" s="114">
        <f t="shared" si="1"/>
        <v>1.3780000000000001</v>
      </c>
      <c r="N7" s="104">
        <f t="shared" si="4"/>
        <v>18</v>
      </c>
      <c r="O7" s="105">
        <v>0.0125</v>
      </c>
      <c r="P7" s="106">
        <f t="shared" si="2"/>
        <v>0.225</v>
      </c>
      <c r="Q7" s="118">
        <f t="shared" si="5"/>
        <v>675</v>
      </c>
      <c r="R7" s="118">
        <f t="shared" si="6"/>
        <v>2025</v>
      </c>
      <c r="S7" s="118">
        <f t="shared" si="7"/>
        <v>1350</v>
      </c>
      <c r="T7" s="182">
        <v>3000</v>
      </c>
      <c r="U7" s="182">
        <v>8400</v>
      </c>
      <c r="V7" s="182"/>
      <c r="W7" s="104"/>
      <c r="X7" s="104"/>
      <c r="Y7" s="104"/>
      <c r="Z7" s="14"/>
      <c r="AA7" s="117">
        <f t="shared" si="3"/>
        <v>1890</v>
      </c>
      <c r="AB7" s="117"/>
      <c r="AC7" s="121">
        <v>6.7</v>
      </c>
      <c r="AD7" s="104">
        <v>1.162</v>
      </c>
      <c r="AE7" s="104">
        <f t="shared" si="8"/>
        <v>7.7854</v>
      </c>
    </row>
    <row r="8" spans="2:31" ht="12.75">
      <c r="B8" s="108" t="s">
        <v>78</v>
      </c>
      <c r="C8" s="107" t="s">
        <v>56</v>
      </c>
      <c r="D8" s="107">
        <v>14.8</v>
      </c>
      <c r="E8" s="107" t="s">
        <v>58</v>
      </c>
      <c r="F8" s="107">
        <v>12</v>
      </c>
      <c r="G8" s="107">
        <v>24</v>
      </c>
      <c r="H8" s="107">
        <v>207</v>
      </c>
      <c r="I8" s="107">
        <v>77</v>
      </c>
      <c r="J8" s="107">
        <v>172</v>
      </c>
      <c r="K8" s="107">
        <v>42</v>
      </c>
      <c r="L8" s="111">
        <f t="shared" si="0"/>
        <v>69.4</v>
      </c>
      <c r="M8" s="114">
        <f t="shared" si="1"/>
        <v>1.626</v>
      </c>
      <c r="N8" s="104">
        <f t="shared" si="4"/>
        <v>22</v>
      </c>
      <c r="O8" s="105">
        <v>0.0125</v>
      </c>
      <c r="P8" s="106">
        <f t="shared" si="2"/>
        <v>0.275</v>
      </c>
      <c r="Q8" s="118">
        <f t="shared" si="5"/>
        <v>825.0000000000001</v>
      </c>
      <c r="R8" s="118">
        <f t="shared" si="6"/>
        <v>2475</v>
      </c>
      <c r="S8" s="118">
        <f t="shared" si="7"/>
        <v>1650</v>
      </c>
      <c r="T8" s="182">
        <v>3000</v>
      </c>
      <c r="U8" s="182">
        <v>8400</v>
      </c>
      <c r="V8" s="182"/>
      <c r="W8" s="104"/>
      <c r="X8" s="104"/>
      <c r="Y8" s="104"/>
      <c r="Z8" s="14"/>
      <c r="AA8" s="117">
        <f t="shared" si="3"/>
        <v>2310</v>
      </c>
      <c r="AB8" s="117"/>
      <c r="AC8" s="121">
        <v>8.1</v>
      </c>
      <c r="AD8" s="104">
        <v>1.162</v>
      </c>
      <c r="AE8" s="104">
        <f t="shared" si="8"/>
        <v>9.412199999999999</v>
      </c>
    </row>
    <row r="9" spans="2:31" ht="12.75">
      <c r="B9" s="108" t="s">
        <v>128</v>
      </c>
      <c r="C9" s="107" t="s">
        <v>56</v>
      </c>
      <c r="D9" s="107">
        <v>14.8</v>
      </c>
      <c r="E9" s="107" t="s">
        <v>58</v>
      </c>
      <c r="F9" s="107">
        <v>12</v>
      </c>
      <c r="G9" s="107">
        <v>30</v>
      </c>
      <c r="H9" s="107">
        <v>207</v>
      </c>
      <c r="I9" s="107">
        <v>77</v>
      </c>
      <c r="J9" s="107">
        <v>172</v>
      </c>
      <c r="K9" s="107">
        <v>42</v>
      </c>
      <c r="L9" s="111">
        <f>7+G9*2.6</f>
        <v>85</v>
      </c>
      <c r="M9" s="114">
        <f>0.138+G9*0.062</f>
        <v>1.9979999999999998</v>
      </c>
      <c r="N9" s="104">
        <f t="shared" si="4"/>
        <v>28</v>
      </c>
      <c r="O9" s="105">
        <v>0.0125</v>
      </c>
      <c r="P9" s="106">
        <f t="shared" si="2"/>
        <v>0.35000000000000003</v>
      </c>
      <c r="Q9" s="118">
        <f t="shared" si="5"/>
        <v>1050</v>
      </c>
      <c r="R9" s="118">
        <f t="shared" si="6"/>
        <v>3150.0000000000005</v>
      </c>
      <c r="S9" s="118">
        <f t="shared" si="7"/>
        <v>2100.0000000000005</v>
      </c>
      <c r="T9" s="182">
        <v>3000</v>
      </c>
      <c r="U9" s="182">
        <v>8400</v>
      </c>
      <c r="V9" s="182"/>
      <c r="W9" s="104"/>
      <c r="X9" s="104"/>
      <c r="Y9" s="104"/>
      <c r="Z9" s="14"/>
      <c r="AA9" s="117">
        <f t="shared" si="3"/>
        <v>2940.0000000000005</v>
      </c>
      <c r="AB9" s="117"/>
      <c r="AC9" s="121">
        <v>10.3</v>
      </c>
      <c r="AD9" s="104">
        <v>1.162</v>
      </c>
      <c r="AE9" s="104">
        <f t="shared" si="8"/>
        <v>11.9686</v>
      </c>
    </row>
    <row r="10" spans="2:31" ht="12.75">
      <c r="B10" s="108" t="s">
        <v>129</v>
      </c>
      <c r="C10" s="107" t="s">
        <v>56</v>
      </c>
      <c r="D10" s="107">
        <v>14.8</v>
      </c>
      <c r="E10" s="107" t="s">
        <v>58</v>
      </c>
      <c r="F10" s="107">
        <v>12</v>
      </c>
      <c r="G10" s="107">
        <v>34</v>
      </c>
      <c r="H10" s="107">
        <v>207</v>
      </c>
      <c r="I10" s="107">
        <v>77</v>
      </c>
      <c r="J10" s="107">
        <v>172</v>
      </c>
      <c r="K10" s="107">
        <v>42</v>
      </c>
      <c r="L10" s="111">
        <f>7+G10*2.6</f>
        <v>95.4</v>
      </c>
      <c r="M10" s="114">
        <f>0.138+G10*0.062</f>
        <v>2.246</v>
      </c>
      <c r="N10" s="104">
        <f t="shared" si="4"/>
        <v>32</v>
      </c>
      <c r="O10" s="105">
        <v>0.0125</v>
      </c>
      <c r="P10" s="106">
        <f t="shared" si="2"/>
        <v>0.4</v>
      </c>
      <c r="Q10" s="118">
        <f t="shared" si="5"/>
        <v>1200</v>
      </c>
      <c r="R10" s="118">
        <f t="shared" si="6"/>
        <v>3600</v>
      </c>
      <c r="S10" s="118">
        <f t="shared" si="7"/>
        <v>2400</v>
      </c>
      <c r="T10" s="182">
        <v>3000</v>
      </c>
      <c r="U10" s="182">
        <v>8400</v>
      </c>
      <c r="V10" s="182"/>
      <c r="W10" s="104"/>
      <c r="X10" s="104"/>
      <c r="Y10" s="104"/>
      <c r="Z10" s="14"/>
      <c r="AA10" s="117">
        <f t="shared" si="3"/>
        <v>3360</v>
      </c>
      <c r="AB10" s="117"/>
      <c r="AC10" s="121">
        <v>11.8</v>
      </c>
      <c r="AD10" s="104">
        <v>1.162</v>
      </c>
      <c r="AE10" s="104">
        <f t="shared" si="8"/>
        <v>13.7116</v>
      </c>
    </row>
    <row r="11" spans="2:31" ht="12.75">
      <c r="B11" s="108" t="s">
        <v>130</v>
      </c>
      <c r="C11" s="107" t="s">
        <v>56</v>
      </c>
      <c r="D11" s="107">
        <v>14.8</v>
      </c>
      <c r="E11" s="107" t="s">
        <v>58</v>
      </c>
      <c r="F11" s="107">
        <v>12</v>
      </c>
      <c r="G11" s="107">
        <v>40</v>
      </c>
      <c r="H11" s="107">
        <v>207</v>
      </c>
      <c r="I11" s="107">
        <v>77</v>
      </c>
      <c r="J11" s="107">
        <v>172</v>
      </c>
      <c r="K11" s="107">
        <v>42</v>
      </c>
      <c r="L11" s="111">
        <f>7+G11*2.6</f>
        <v>111</v>
      </c>
      <c r="M11" s="114">
        <f>0.138+G11*0.062</f>
        <v>2.618</v>
      </c>
      <c r="N11" s="104">
        <f t="shared" si="4"/>
        <v>38</v>
      </c>
      <c r="O11" s="105">
        <v>0.0125</v>
      </c>
      <c r="P11" s="106">
        <f t="shared" si="2"/>
        <v>0.47500000000000003</v>
      </c>
      <c r="Q11" s="118">
        <f t="shared" si="5"/>
        <v>1425</v>
      </c>
      <c r="R11" s="118">
        <f t="shared" si="6"/>
        <v>4275</v>
      </c>
      <c r="S11" s="118">
        <f t="shared" si="7"/>
        <v>2850</v>
      </c>
      <c r="T11" s="182">
        <v>3000</v>
      </c>
      <c r="U11" s="182">
        <v>8400</v>
      </c>
      <c r="V11" s="182"/>
      <c r="W11" s="104"/>
      <c r="X11" s="104"/>
      <c r="Y11" s="104"/>
      <c r="Z11" s="14"/>
      <c r="AA11" s="117">
        <f t="shared" si="3"/>
        <v>3990.0000000000005</v>
      </c>
      <c r="AB11" s="117"/>
      <c r="AC11" s="121">
        <v>14</v>
      </c>
      <c r="AD11" s="104">
        <v>1.162</v>
      </c>
      <c r="AE11" s="104">
        <f t="shared" si="8"/>
        <v>16.268</v>
      </c>
    </row>
    <row r="12" spans="2:31" ht="12.75">
      <c r="B12" s="109" t="s">
        <v>79</v>
      </c>
      <c r="C12" s="107" t="s">
        <v>56</v>
      </c>
      <c r="D12" s="107">
        <v>14.8</v>
      </c>
      <c r="E12" s="107" t="s">
        <v>56</v>
      </c>
      <c r="F12" s="107">
        <v>14.8</v>
      </c>
      <c r="G12" s="107">
        <v>20</v>
      </c>
      <c r="H12" s="107">
        <v>315</v>
      </c>
      <c r="I12" s="107">
        <v>77</v>
      </c>
      <c r="J12" s="107">
        <v>278</v>
      </c>
      <c r="K12" s="107">
        <v>40</v>
      </c>
      <c r="L12" s="112">
        <f>8+G12*2.5</f>
        <v>58</v>
      </c>
      <c r="M12" s="115">
        <f>0.207+G12*0.094</f>
        <v>2.0869999999999997</v>
      </c>
      <c r="N12" s="104">
        <f t="shared" si="4"/>
        <v>18</v>
      </c>
      <c r="O12" s="105">
        <v>0.0203</v>
      </c>
      <c r="P12" s="106">
        <f t="shared" si="2"/>
        <v>0.36539999999999995</v>
      </c>
      <c r="Q12" s="118">
        <f t="shared" si="5"/>
        <v>1096.1999999999998</v>
      </c>
      <c r="R12" s="118">
        <f t="shared" si="6"/>
        <v>3288.5999999999995</v>
      </c>
      <c r="S12" s="118">
        <f t="shared" si="7"/>
        <v>2192.3999999999996</v>
      </c>
      <c r="T12" s="183">
        <v>3000</v>
      </c>
      <c r="U12" s="183">
        <v>7900</v>
      </c>
      <c r="V12" s="183"/>
      <c r="W12" s="104"/>
      <c r="X12" s="104"/>
      <c r="Y12" s="104"/>
      <c r="Z12" s="14"/>
      <c r="AA12" s="117">
        <f t="shared" si="3"/>
        <v>2886.6599999999994</v>
      </c>
      <c r="AB12" s="117"/>
      <c r="AC12" s="121">
        <v>5.1</v>
      </c>
      <c r="AD12" s="104">
        <v>1.162</v>
      </c>
      <c r="AE12" s="104">
        <f t="shared" si="8"/>
        <v>5.926199999999999</v>
      </c>
    </row>
    <row r="13" spans="2:31" ht="12.75">
      <c r="B13" s="109" t="s">
        <v>80</v>
      </c>
      <c r="C13" s="107" t="s">
        <v>56</v>
      </c>
      <c r="D13" s="107">
        <v>14.8</v>
      </c>
      <c r="E13" s="107" t="s">
        <v>56</v>
      </c>
      <c r="F13" s="107">
        <v>14.8</v>
      </c>
      <c r="G13" s="107">
        <v>24</v>
      </c>
      <c r="H13" s="107">
        <v>315</v>
      </c>
      <c r="I13" s="107">
        <v>77</v>
      </c>
      <c r="J13" s="107">
        <v>278</v>
      </c>
      <c r="K13" s="107">
        <v>40</v>
      </c>
      <c r="L13" s="112">
        <f>8+G13*2.5</f>
        <v>68</v>
      </c>
      <c r="M13" s="115">
        <f>0.207+G13*0.094</f>
        <v>2.463</v>
      </c>
      <c r="N13" s="104">
        <f t="shared" si="4"/>
        <v>22</v>
      </c>
      <c r="O13" s="105">
        <v>0.0203</v>
      </c>
      <c r="P13" s="106">
        <f t="shared" si="2"/>
        <v>0.4466</v>
      </c>
      <c r="Q13" s="118">
        <f t="shared" si="5"/>
        <v>1339.8</v>
      </c>
      <c r="R13" s="118">
        <f t="shared" si="6"/>
        <v>4019.4</v>
      </c>
      <c r="S13" s="118">
        <f t="shared" si="7"/>
        <v>2679.6000000000004</v>
      </c>
      <c r="T13" s="183">
        <v>3000</v>
      </c>
      <c r="U13" s="183">
        <v>7900</v>
      </c>
      <c r="V13" s="183"/>
      <c r="W13" s="104"/>
      <c r="X13" s="104"/>
      <c r="Y13" s="104"/>
      <c r="Z13" s="14"/>
      <c r="AA13" s="117">
        <f t="shared" si="3"/>
        <v>3528.14</v>
      </c>
      <c r="AB13" s="117"/>
      <c r="AC13" s="121">
        <v>6.2</v>
      </c>
      <c r="AD13" s="104">
        <v>1.162</v>
      </c>
      <c r="AE13" s="104">
        <f t="shared" si="8"/>
        <v>7.2044</v>
      </c>
    </row>
    <row r="14" spans="2:31" ht="12.75">
      <c r="B14" s="109" t="s">
        <v>81</v>
      </c>
      <c r="C14" s="107" t="s">
        <v>56</v>
      </c>
      <c r="D14" s="107">
        <v>14.8</v>
      </c>
      <c r="E14" s="107" t="s">
        <v>56</v>
      </c>
      <c r="F14" s="107">
        <v>14.8</v>
      </c>
      <c r="G14" s="107">
        <v>30</v>
      </c>
      <c r="H14" s="107">
        <v>315</v>
      </c>
      <c r="I14" s="107">
        <v>77</v>
      </c>
      <c r="J14" s="107">
        <v>278</v>
      </c>
      <c r="K14" s="107">
        <v>40</v>
      </c>
      <c r="L14" s="112">
        <f>8+G14*2.5</f>
        <v>83</v>
      </c>
      <c r="M14" s="115">
        <f>0.207+G14*0.094</f>
        <v>3.0269999999999997</v>
      </c>
      <c r="N14" s="104">
        <f t="shared" si="4"/>
        <v>28</v>
      </c>
      <c r="O14" s="105">
        <v>0.0203</v>
      </c>
      <c r="P14" s="106">
        <f t="shared" si="2"/>
        <v>0.5684</v>
      </c>
      <c r="Q14" s="118">
        <f t="shared" si="5"/>
        <v>1705.2</v>
      </c>
      <c r="R14" s="118">
        <f t="shared" si="6"/>
        <v>5115.6</v>
      </c>
      <c r="S14" s="118">
        <f t="shared" si="7"/>
        <v>3410.4000000000005</v>
      </c>
      <c r="T14" s="183">
        <v>3000</v>
      </c>
      <c r="U14" s="183">
        <v>7900</v>
      </c>
      <c r="V14" s="183"/>
      <c r="W14" s="104"/>
      <c r="X14" s="104"/>
      <c r="Y14" s="104"/>
      <c r="Z14" s="14"/>
      <c r="AA14" s="117">
        <f t="shared" si="3"/>
        <v>4490.360000000001</v>
      </c>
      <c r="AB14" s="117"/>
      <c r="AC14" s="121">
        <v>7.8</v>
      </c>
      <c r="AD14" s="104">
        <v>1.162</v>
      </c>
      <c r="AE14" s="104">
        <f t="shared" si="8"/>
        <v>9.0636</v>
      </c>
    </row>
    <row r="15" spans="2:31" ht="12.75">
      <c r="B15" s="109" t="s">
        <v>82</v>
      </c>
      <c r="C15" s="107" t="s">
        <v>56</v>
      </c>
      <c r="D15" s="107">
        <v>14.8</v>
      </c>
      <c r="E15" s="107" t="s">
        <v>56</v>
      </c>
      <c r="F15" s="107">
        <v>14.8</v>
      </c>
      <c r="G15" s="107">
        <v>34</v>
      </c>
      <c r="H15" s="107">
        <v>315</v>
      </c>
      <c r="I15" s="107">
        <v>77</v>
      </c>
      <c r="J15" s="107">
        <v>278</v>
      </c>
      <c r="K15" s="107">
        <v>40</v>
      </c>
      <c r="L15" s="112">
        <f>8+G15*2.5</f>
        <v>93</v>
      </c>
      <c r="M15" s="115">
        <f>0.207+G15*0.094</f>
        <v>3.403</v>
      </c>
      <c r="N15" s="104">
        <f t="shared" si="4"/>
        <v>32</v>
      </c>
      <c r="O15" s="105">
        <v>0.0203</v>
      </c>
      <c r="P15" s="106">
        <f t="shared" si="2"/>
        <v>0.6496</v>
      </c>
      <c r="Q15" s="118">
        <f t="shared" si="5"/>
        <v>1948.8</v>
      </c>
      <c r="R15" s="118">
        <f t="shared" si="6"/>
        <v>5846.4</v>
      </c>
      <c r="S15" s="118">
        <f t="shared" si="7"/>
        <v>3897.5999999999995</v>
      </c>
      <c r="T15" s="183">
        <v>3000</v>
      </c>
      <c r="U15" s="183">
        <v>7900</v>
      </c>
      <c r="V15" s="183"/>
      <c r="W15" s="104"/>
      <c r="X15" s="104"/>
      <c r="Y15" s="104"/>
      <c r="Z15" s="14"/>
      <c r="AA15" s="117">
        <f t="shared" si="3"/>
        <v>5131.839999999999</v>
      </c>
      <c r="AB15" s="117"/>
      <c r="AC15" s="121">
        <v>9</v>
      </c>
      <c r="AD15" s="104">
        <v>1.162</v>
      </c>
      <c r="AE15" s="104">
        <f t="shared" si="8"/>
        <v>10.457999999999998</v>
      </c>
    </row>
    <row r="16" spans="2:31" ht="12.75">
      <c r="B16" s="109" t="s">
        <v>83</v>
      </c>
      <c r="C16" s="107" t="s">
        <v>56</v>
      </c>
      <c r="D16" s="107">
        <v>14.8</v>
      </c>
      <c r="E16" s="107" t="s">
        <v>56</v>
      </c>
      <c r="F16" s="107">
        <v>14.8</v>
      </c>
      <c r="G16" s="107">
        <v>40</v>
      </c>
      <c r="H16" s="107">
        <v>315</v>
      </c>
      <c r="I16" s="107">
        <v>77</v>
      </c>
      <c r="J16" s="107">
        <v>278</v>
      </c>
      <c r="K16" s="107">
        <v>40</v>
      </c>
      <c r="L16" s="112">
        <f>8+G16*2.5</f>
        <v>108</v>
      </c>
      <c r="M16" s="115">
        <f>0.207+G16*0.094</f>
        <v>3.9669999999999996</v>
      </c>
      <c r="N16" s="104">
        <f t="shared" si="4"/>
        <v>38</v>
      </c>
      <c r="O16" s="105">
        <v>0.0203</v>
      </c>
      <c r="P16" s="106">
        <f t="shared" si="2"/>
        <v>0.7714</v>
      </c>
      <c r="Q16" s="118">
        <f t="shared" si="5"/>
        <v>2314.2</v>
      </c>
      <c r="R16" s="118">
        <f t="shared" si="6"/>
        <v>6942.599999999999</v>
      </c>
      <c r="S16" s="118">
        <f t="shared" si="7"/>
        <v>4628.4</v>
      </c>
      <c r="T16" s="183">
        <v>3000</v>
      </c>
      <c r="U16" s="183">
        <v>7900</v>
      </c>
      <c r="V16" s="183"/>
      <c r="W16" s="104"/>
      <c r="X16" s="104"/>
      <c r="Y16" s="104"/>
      <c r="Z16" s="14"/>
      <c r="AA16" s="117">
        <f t="shared" si="3"/>
        <v>6094.0599999999995</v>
      </c>
      <c r="AB16" s="117"/>
      <c r="AC16" s="121">
        <v>10.4</v>
      </c>
      <c r="AD16" s="104">
        <v>1.162</v>
      </c>
      <c r="AE16" s="104">
        <f t="shared" si="8"/>
        <v>12.0848</v>
      </c>
    </row>
    <row r="17" spans="2:31" ht="12.75">
      <c r="B17" s="110" t="s">
        <v>84</v>
      </c>
      <c r="C17" s="107" t="s">
        <v>57</v>
      </c>
      <c r="D17" s="107">
        <v>24.4</v>
      </c>
      <c r="E17" s="107" t="s">
        <v>57</v>
      </c>
      <c r="F17" s="107">
        <v>24.4</v>
      </c>
      <c r="G17" s="107">
        <v>20</v>
      </c>
      <c r="H17" s="107">
        <v>526</v>
      </c>
      <c r="I17" s="107">
        <v>115</v>
      </c>
      <c r="J17" s="107">
        <v>466</v>
      </c>
      <c r="K17" s="107">
        <v>50</v>
      </c>
      <c r="L17" s="113">
        <f aca="true" t="shared" si="9" ref="L17:L22">9+G17*2.56</f>
        <v>60.2</v>
      </c>
      <c r="M17" s="116">
        <f aca="true" t="shared" si="10" ref="M17:M22">2.5+G17*0.24</f>
        <v>7.3</v>
      </c>
      <c r="N17" s="104">
        <f t="shared" si="4"/>
        <v>18</v>
      </c>
      <c r="O17" s="105">
        <v>0.0568</v>
      </c>
      <c r="P17" s="106">
        <f t="shared" si="2"/>
        <v>1.0224</v>
      </c>
      <c r="Q17" s="118">
        <f t="shared" si="5"/>
        <v>3067.2</v>
      </c>
      <c r="R17" s="118">
        <f t="shared" si="6"/>
        <v>9201.6</v>
      </c>
      <c r="S17" s="118">
        <f t="shared" si="7"/>
        <v>6134.400000000001</v>
      </c>
      <c r="T17" s="184">
        <v>3000</v>
      </c>
      <c r="U17" s="184">
        <v>7400</v>
      </c>
      <c r="V17" s="184"/>
      <c r="W17" s="104"/>
      <c r="X17" s="104"/>
      <c r="Y17" s="104"/>
      <c r="Z17" s="14"/>
      <c r="AA17" s="117">
        <f t="shared" si="3"/>
        <v>7565.76</v>
      </c>
      <c r="AB17" s="117"/>
      <c r="AC17" s="121">
        <v>6.5</v>
      </c>
      <c r="AD17" s="104">
        <v>1.162</v>
      </c>
      <c r="AE17" s="104">
        <f t="shared" si="8"/>
        <v>7.552999999999999</v>
      </c>
    </row>
    <row r="18" spans="2:31" ht="12.75">
      <c r="B18" s="110" t="s">
        <v>85</v>
      </c>
      <c r="C18" s="107" t="s">
        <v>57</v>
      </c>
      <c r="D18" s="107">
        <v>24.4</v>
      </c>
      <c r="E18" s="107" t="s">
        <v>57</v>
      </c>
      <c r="F18" s="107">
        <v>24.4</v>
      </c>
      <c r="G18" s="107">
        <v>30</v>
      </c>
      <c r="H18" s="107">
        <v>526</v>
      </c>
      <c r="I18" s="107">
        <v>115</v>
      </c>
      <c r="J18" s="107">
        <v>466</v>
      </c>
      <c r="K18" s="107">
        <v>50</v>
      </c>
      <c r="L18" s="113">
        <f t="shared" si="9"/>
        <v>85.8</v>
      </c>
      <c r="M18" s="116">
        <f t="shared" si="10"/>
        <v>9.7</v>
      </c>
      <c r="N18" s="104">
        <f t="shared" si="4"/>
        <v>28</v>
      </c>
      <c r="O18" s="105">
        <v>0.0568</v>
      </c>
      <c r="P18" s="106">
        <f t="shared" si="2"/>
        <v>1.5904</v>
      </c>
      <c r="Q18" s="118">
        <f t="shared" si="5"/>
        <v>4771.2</v>
      </c>
      <c r="R18" s="118">
        <f t="shared" si="6"/>
        <v>14313.6</v>
      </c>
      <c r="S18" s="118">
        <f t="shared" si="7"/>
        <v>9542.400000000001</v>
      </c>
      <c r="T18" s="184">
        <v>3000</v>
      </c>
      <c r="U18" s="184">
        <v>7400</v>
      </c>
      <c r="V18" s="184"/>
      <c r="W18" s="104"/>
      <c r="X18" s="104"/>
      <c r="Y18" s="104"/>
      <c r="Z18" s="14"/>
      <c r="AA18" s="117">
        <f t="shared" si="3"/>
        <v>11768.960000000001</v>
      </c>
      <c r="AB18" s="117"/>
      <c r="AC18" s="121">
        <v>9.7</v>
      </c>
      <c r="AD18" s="104">
        <v>1.162</v>
      </c>
      <c r="AE18" s="104">
        <f t="shared" si="8"/>
        <v>11.271399999999998</v>
      </c>
    </row>
    <row r="19" spans="2:31" ht="12.75">
      <c r="B19" s="110" t="s">
        <v>86</v>
      </c>
      <c r="C19" s="107" t="s">
        <v>57</v>
      </c>
      <c r="D19" s="107">
        <v>24.4</v>
      </c>
      <c r="E19" s="107" t="s">
        <v>57</v>
      </c>
      <c r="F19" s="107">
        <v>24.4</v>
      </c>
      <c r="G19" s="107">
        <v>40</v>
      </c>
      <c r="H19" s="107">
        <v>526</v>
      </c>
      <c r="I19" s="107">
        <v>115</v>
      </c>
      <c r="J19" s="107">
        <v>466</v>
      </c>
      <c r="K19" s="107">
        <v>50</v>
      </c>
      <c r="L19" s="113">
        <f t="shared" si="9"/>
        <v>111.4</v>
      </c>
      <c r="M19" s="116">
        <f t="shared" si="10"/>
        <v>12.1</v>
      </c>
      <c r="N19" s="104">
        <f t="shared" si="4"/>
        <v>38</v>
      </c>
      <c r="O19" s="105">
        <v>0.0568</v>
      </c>
      <c r="P19" s="106">
        <f t="shared" si="2"/>
        <v>2.1584000000000003</v>
      </c>
      <c r="Q19" s="118">
        <f t="shared" si="5"/>
        <v>6475.200000000001</v>
      </c>
      <c r="R19" s="118">
        <f t="shared" si="6"/>
        <v>19425.600000000002</v>
      </c>
      <c r="S19" s="118">
        <f t="shared" si="7"/>
        <v>12950.400000000001</v>
      </c>
      <c r="T19" s="184">
        <v>3000</v>
      </c>
      <c r="U19" s="184">
        <v>7400</v>
      </c>
      <c r="V19" s="184"/>
      <c r="W19" s="104"/>
      <c r="X19" s="104"/>
      <c r="Y19" s="104"/>
      <c r="Z19" s="14"/>
      <c r="AA19" s="117">
        <f t="shared" si="3"/>
        <v>15972.160000000002</v>
      </c>
      <c r="AB19" s="117"/>
      <c r="AC19" s="121">
        <v>12.9</v>
      </c>
      <c r="AD19" s="104">
        <v>1.162</v>
      </c>
      <c r="AE19" s="104">
        <f t="shared" si="8"/>
        <v>14.989799999999999</v>
      </c>
    </row>
    <row r="20" spans="2:31" ht="12.75">
      <c r="B20" s="110" t="s">
        <v>87</v>
      </c>
      <c r="C20" s="107" t="s">
        <v>57</v>
      </c>
      <c r="D20" s="107">
        <v>24.4</v>
      </c>
      <c r="E20" s="107" t="s">
        <v>57</v>
      </c>
      <c r="F20" s="107">
        <v>24.4</v>
      </c>
      <c r="G20" s="107">
        <v>50</v>
      </c>
      <c r="H20" s="107">
        <v>526</v>
      </c>
      <c r="I20" s="107">
        <v>115</v>
      </c>
      <c r="J20" s="107">
        <v>466</v>
      </c>
      <c r="K20" s="107">
        <v>50</v>
      </c>
      <c r="L20" s="113">
        <f t="shared" si="9"/>
        <v>137</v>
      </c>
      <c r="M20" s="116">
        <f t="shared" si="10"/>
        <v>14.5</v>
      </c>
      <c r="N20" s="104">
        <f t="shared" si="4"/>
        <v>48</v>
      </c>
      <c r="O20" s="105">
        <v>0.0568</v>
      </c>
      <c r="P20" s="106">
        <f t="shared" si="2"/>
        <v>2.7264</v>
      </c>
      <c r="Q20" s="118">
        <f t="shared" si="5"/>
        <v>8179.2</v>
      </c>
      <c r="R20" s="118">
        <f t="shared" si="6"/>
        <v>24537.6</v>
      </c>
      <c r="S20" s="118">
        <f t="shared" si="7"/>
        <v>16358.399999999998</v>
      </c>
      <c r="T20" s="184">
        <v>3000</v>
      </c>
      <c r="U20" s="184">
        <v>7400</v>
      </c>
      <c r="V20" s="184"/>
      <c r="W20" s="104"/>
      <c r="X20" s="104"/>
      <c r="Y20" s="104"/>
      <c r="Z20" s="14"/>
      <c r="AA20" s="117">
        <f t="shared" si="3"/>
        <v>20175.36</v>
      </c>
      <c r="AB20" s="117"/>
      <c r="AC20" s="121">
        <v>16.1</v>
      </c>
      <c r="AD20" s="104">
        <v>1.162</v>
      </c>
      <c r="AE20" s="104">
        <f t="shared" si="8"/>
        <v>18.7082</v>
      </c>
    </row>
    <row r="21" spans="2:31" ht="12.75">
      <c r="B21" s="110" t="s">
        <v>88</v>
      </c>
      <c r="C21" s="107" t="s">
        <v>57</v>
      </c>
      <c r="D21" s="107">
        <v>24.4</v>
      </c>
      <c r="E21" s="107" t="s">
        <v>57</v>
      </c>
      <c r="F21" s="107">
        <v>24.4</v>
      </c>
      <c r="G21" s="107">
        <v>60</v>
      </c>
      <c r="H21" s="107">
        <v>526</v>
      </c>
      <c r="I21" s="107">
        <v>115</v>
      </c>
      <c r="J21" s="107">
        <v>466</v>
      </c>
      <c r="K21" s="107">
        <v>50</v>
      </c>
      <c r="L21" s="113">
        <f t="shared" si="9"/>
        <v>162.6</v>
      </c>
      <c r="M21" s="116">
        <f t="shared" si="10"/>
        <v>16.9</v>
      </c>
      <c r="N21" s="104">
        <f>+G21-2</f>
        <v>58</v>
      </c>
      <c r="O21" s="105">
        <v>0.0568</v>
      </c>
      <c r="P21" s="106">
        <f>+N21*O21</f>
        <v>3.2944</v>
      </c>
      <c r="Q21" s="118">
        <f t="shared" si="5"/>
        <v>9883.2</v>
      </c>
      <c r="R21" s="118">
        <f t="shared" si="6"/>
        <v>29649.6</v>
      </c>
      <c r="S21" s="118">
        <f t="shared" si="7"/>
        <v>19766.399999999998</v>
      </c>
      <c r="T21" s="184">
        <v>3000</v>
      </c>
      <c r="U21" s="184">
        <v>7400</v>
      </c>
      <c r="V21" s="184"/>
      <c r="W21" s="104"/>
      <c r="X21" s="104"/>
      <c r="Y21" s="104"/>
      <c r="Z21" s="14"/>
      <c r="AA21" s="117">
        <f t="shared" si="3"/>
        <v>24378.56</v>
      </c>
      <c r="AB21" s="117"/>
      <c r="AC21" s="121">
        <v>19.4</v>
      </c>
      <c r="AD21" s="104">
        <v>1.162</v>
      </c>
      <c r="AE21" s="104">
        <f>+AC21*AD21</f>
        <v>22.542799999999996</v>
      </c>
    </row>
    <row r="22" spans="2:31" ht="12.75">
      <c r="B22" s="110" t="s">
        <v>89</v>
      </c>
      <c r="C22" s="107" t="s">
        <v>57</v>
      </c>
      <c r="D22" s="107">
        <v>24.4</v>
      </c>
      <c r="E22" s="107" t="s">
        <v>57</v>
      </c>
      <c r="F22" s="107">
        <v>24.4</v>
      </c>
      <c r="G22" s="107">
        <v>80</v>
      </c>
      <c r="H22" s="107">
        <v>526</v>
      </c>
      <c r="I22" s="107">
        <v>115</v>
      </c>
      <c r="J22" s="107">
        <v>466</v>
      </c>
      <c r="K22" s="107">
        <v>50</v>
      </c>
      <c r="L22" s="113">
        <f t="shared" si="9"/>
        <v>213.8</v>
      </c>
      <c r="M22" s="116">
        <f t="shared" si="10"/>
        <v>21.7</v>
      </c>
      <c r="N22" s="104">
        <f>+G22-2</f>
        <v>78</v>
      </c>
      <c r="O22" s="105">
        <v>0.0568</v>
      </c>
      <c r="P22" s="106">
        <f>+N22*O22</f>
        <v>4.430400000000001</v>
      </c>
      <c r="Q22" s="118">
        <f t="shared" si="5"/>
        <v>13291.200000000003</v>
      </c>
      <c r="R22" s="118">
        <f t="shared" si="6"/>
        <v>39873.600000000006</v>
      </c>
      <c r="S22" s="118">
        <f t="shared" si="7"/>
        <v>26582.4</v>
      </c>
      <c r="T22" s="184">
        <v>3000</v>
      </c>
      <c r="U22" s="184">
        <v>7400</v>
      </c>
      <c r="V22" s="184"/>
      <c r="W22" s="104"/>
      <c r="X22" s="104"/>
      <c r="Y22" s="104"/>
      <c r="Z22" s="14"/>
      <c r="AA22" s="117">
        <f t="shared" si="3"/>
        <v>32784.96000000001</v>
      </c>
      <c r="AB22" s="117"/>
      <c r="AC22" s="121">
        <v>25.7</v>
      </c>
      <c r="AD22" s="104">
        <v>1.162</v>
      </c>
      <c r="AE22" s="104">
        <f>+AC22*AD22</f>
        <v>29.8634</v>
      </c>
    </row>
    <row r="23" spans="2:31" ht="12.75">
      <c r="B23" s="196" t="s">
        <v>146</v>
      </c>
      <c r="C23" s="107" t="s">
        <v>57</v>
      </c>
      <c r="D23" s="107">
        <v>27</v>
      </c>
      <c r="E23" s="107" t="s">
        <v>57</v>
      </c>
      <c r="F23" s="107">
        <v>27</v>
      </c>
      <c r="G23" s="107">
        <v>40</v>
      </c>
      <c r="H23" s="107">
        <v>310</v>
      </c>
      <c r="I23" s="107">
        <v>112</v>
      </c>
      <c r="J23" s="107">
        <v>250</v>
      </c>
      <c r="K23" s="107">
        <v>50</v>
      </c>
      <c r="L23" s="112">
        <f>9+G23*2.56</f>
        <v>111.4</v>
      </c>
      <c r="M23" s="115">
        <f>1.4+G23*0.13</f>
        <v>6.6</v>
      </c>
      <c r="N23" s="104">
        <f>+G23-2</f>
        <v>38</v>
      </c>
      <c r="O23" s="198">
        <v>0.028</v>
      </c>
      <c r="P23" s="106">
        <f>+N23*O23</f>
        <v>1.064</v>
      </c>
      <c r="Q23" s="118">
        <f>+Q$1*P23</f>
        <v>3192</v>
      </c>
      <c r="R23" s="118">
        <f>+R$1*P23</f>
        <v>9576</v>
      </c>
      <c r="S23" s="118">
        <f>+R23-Q23</f>
        <v>6384</v>
      </c>
      <c r="T23" s="183">
        <v>3000</v>
      </c>
      <c r="U23" s="183">
        <v>7900</v>
      </c>
      <c r="V23" s="183"/>
      <c r="W23" s="104"/>
      <c r="X23" s="104"/>
      <c r="Y23" s="104"/>
      <c r="Z23" s="14"/>
      <c r="AA23" s="117">
        <f t="shared" si="3"/>
        <v>8405.6</v>
      </c>
      <c r="AB23" s="117"/>
      <c r="AC23" s="121">
        <v>17.5</v>
      </c>
      <c r="AD23" s="104">
        <v>1.162</v>
      </c>
      <c r="AE23" s="104">
        <f>+AC23*AD23</f>
        <v>20.334999999999997</v>
      </c>
    </row>
    <row r="24" spans="2:31" ht="12.75">
      <c r="B24" s="196" t="s">
        <v>147</v>
      </c>
      <c r="C24" s="107" t="s">
        <v>57</v>
      </c>
      <c r="D24" s="107">
        <v>27</v>
      </c>
      <c r="E24" s="107" t="s">
        <v>57</v>
      </c>
      <c r="F24" s="107">
        <v>27</v>
      </c>
      <c r="G24" s="107">
        <v>40</v>
      </c>
      <c r="H24" s="107">
        <v>310</v>
      </c>
      <c r="I24" s="107">
        <v>112</v>
      </c>
      <c r="J24" s="107">
        <v>250</v>
      </c>
      <c r="K24" s="107">
        <v>50</v>
      </c>
      <c r="L24" s="112">
        <f>9+G24*2.56</f>
        <v>111.4</v>
      </c>
      <c r="M24" s="115">
        <f>1.4+G24*0.13</f>
        <v>6.6</v>
      </c>
      <c r="N24" s="104">
        <f>+G24-2</f>
        <v>38</v>
      </c>
      <c r="O24" s="198">
        <v>0.028</v>
      </c>
      <c r="P24" s="106">
        <f>+N24*O24</f>
        <v>1.064</v>
      </c>
      <c r="Q24" s="118">
        <f>+Q$1*P24</f>
        <v>3192</v>
      </c>
      <c r="R24" s="118">
        <f>+R$1*P24</f>
        <v>9576</v>
      </c>
      <c r="S24" s="118">
        <f>+R24-Q24</f>
        <v>6384</v>
      </c>
      <c r="T24" s="183">
        <v>3000</v>
      </c>
      <c r="U24" s="183">
        <v>7900</v>
      </c>
      <c r="V24" s="183"/>
      <c r="W24" s="104"/>
      <c r="X24" s="104"/>
      <c r="Y24" s="104"/>
      <c r="Z24" s="14"/>
      <c r="AA24" s="117">
        <f>+P24*U24</f>
        <v>8405.6</v>
      </c>
      <c r="AB24" s="117"/>
      <c r="AC24" s="121">
        <v>17.5</v>
      </c>
      <c r="AD24" s="104">
        <v>1.162</v>
      </c>
      <c r="AE24" s="104">
        <f>+AC24*AD24</f>
        <v>20.334999999999997</v>
      </c>
    </row>
    <row r="25" spans="2:31" ht="12.75">
      <c r="B25" s="197" t="s">
        <v>108</v>
      </c>
      <c r="C25" s="107" t="s">
        <v>57</v>
      </c>
      <c r="D25" s="107">
        <v>27</v>
      </c>
      <c r="E25" s="107" t="s">
        <v>57</v>
      </c>
      <c r="F25" s="107">
        <v>27</v>
      </c>
      <c r="G25" s="107">
        <v>16</v>
      </c>
      <c r="H25" s="107"/>
      <c r="I25" s="107"/>
      <c r="J25" s="107"/>
      <c r="K25" s="107"/>
      <c r="L25" s="113"/>
      <c r="M25" s="116"/>
      <c r="N25" s="104">
        <v>14</v>
      </c>
      <c r="O25" s="105">
        <v>0.012</v>
      </c>
      <c r="P25" s="106">
        <f t="shared" si="2"/>
        <v>0.168</v>
      </c>
      <c r="Q25" s="118">
        <f t="shared" si="5"/>
        <v>504.00000000000006</v>
      </c>
      <c r="R25" s="118">
        <f t="shared" si="6"/>
        <v>1512</v>
      </c>
      <c r="S25" s="118">
        <f t="shared" si="7"/>
        <v>1008</v>
      </c>
      <c r="T25" s="184">
        <v>3000</v>
      </c>
      <c r="U25" s="184">
        <v>8400</v>
      </c>
      <c r="V25" s="184"/>
      <c r="W25" s="104"/>
      <c r="X25" s="104"/>
      <c r="Y25" s="104"/>
      <c r="Z25" s="14"/>
      <c r="AA25" s="117">
        <f t="shared" si="3"/>
        <v>1411.2</v>
      </c>
      <c r="AB25" s="117"/>
      <c r="AC25" s="121">
        <v>2.5</v>
      </c>
      <c r="AD25" s="104">
        <v>1.162</v>
      </c>
      <c r="AE25" s="104">
        <f t="shared" si="8"/>
        <v>2.905</v>
      </c>
    </row>
    <row r="26" spans="2:31" ht="12.75">
      <c r="B26" s="197" t="s">
        <v>109</v>
      </c>
      <c r="C26" s="107" t="s">
        <v>57</v>
      </c>
      <c r="D26" s="107">
        <v>27</v>
      </c>
      <c r="E26" s="107" t="s">
        <v>57</v>
      </c>
      <c r="F26" s="107">
        <v>27</v>
      </c>
      <c r="G26" s="107">
        <v>26</v>
      </c>
      <c r="H26" s="107"/>
      <c r="I26" s="107"/>
      <c r="J26" s="107"/>
      <c r="K26" s="107"/>
      <c r="L26" s="113"/>
      <c r="M26" s="116"/>
      <c r="N26" s="104">
        <v>24</v>
      </c>
      <c r="O26" s="105">
        <v>0.012</v>
      </c>
      <c r="P26" s="106">
        <f>+N26*O26</f>
        <v>0.28800000000000003</v>
      </c>
      <c r="Q26" s="118">
        <f t="shared" si="5"/>
        <v>864.0000000000001</v>
      </c>
      <c r="R26" s="118">
        <f t="shared" si="6"/>
        <v>2592.0000000000005</v>
      </c>
      <c r="S26" s="118">
        <f t="shared" si="7"/>
        <v>1728.0000000000005</v>
      </c>
      <c r="T26" s="184">
        <v>3000</v>
      </c>
      <c r="U26" s="184">
        <v>8400</v>
      </c>
      <c r="V26" s="184"/>
      <c r="W26" s="104"/>
      <c r="X26" s="104"/>
      <c r="Y26" s="104"/>
      <c r="Z26" s="14"/>
      <c r="AA26" s="117">
        <f t="shared" si="3"/>
        <v>2419.2000000000003</v>
      </c>
      <c r="AB26" s="117"/>
      <c r="AC26" s="121">
        <v>3.2</v>
      </c>
      <c r="AD26" s="104">
        <v>1.162</v>
      </c>
      <c r="AE26" s="104">
        <f>+AC26*AD26</f>
        <v>3.7184</v>
      </c>
    </row>
    <row r="27" spans="2:28" ht="12.7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91"/>
      <c r="P27" s="92"/>
      <c r="Q27" s="119"/>
      <c r="R27" s="92"/>
      <c r="S27" s="118"/>
      <c r="T27" s="92"/>
      <c r="U27" s="90"/>
      <c r="V27" s="90"/>
      <c r="W27" s="90"/>
      <c r="X27" s="90"/>
      <c r="Y27" s="90"/>
      <c r="AA27" s="89"/>
      <c r="AB27" s="89"/>
    </row>
    <row r="28" spans="1:31" ht="12.75">
      <c r="A28" s="7" t="s">
        <v>4</v>
      </c>
      <c r="B28" s="206" t="str">
        <f>+VLOOKUP(A3,B3:AE26,1,0)</f>
        <v>SPE500 60</v>
      </c>
      <c r="C28" s="206" t="str">
        <f>+VLOOKUP(A3,B3:AE26,2,0)</f>
        <v>M 1"</v>
      </c>
      <c r="D28" s="206">
        <f>+VLOOKUP(A3,B3:AE26,3,0)</f>
        <v>24.4</v>
      </c>
      <c r="E28" s="206" t="str">
        <f>+VLOOKUP(A3,B3:AE26,4,0)</f>
        <v>M 1"</v>
      </c>
      <c r="F28" s="206">
        <f>+VLOOKUP(A3,B3:AE26,5,0)</f>
        <v>24.4</v>
      </c>
      <c r="G28" s="206">
        <f>+VLOOKUP(A3,B3:AE26,6,0)</f>
        <v>60</v>
      </c>
      <c r="H28" s="206">
        <f>+VLOOKUP(A3,B3:AE26,7,0)</f>
        <v>526</v>
      </c>
      <c r="I28" s="206">
        <f>+VLOOKUP(A3,B3:AE26,8,0)</f>
        <v>115</v>
      </c>
      <c r="J28" s="206">
        <f>++VLOOKUP(A3,B3:AE26,9,0)</f>
        <v>466</v>
      </c>
      <c r="K28" s="206">
        <f>+VLOOKUP(A3,B3:AE26,10,0)</f>
        <v>50</v>
      </c>
      <c r="L28" s="206">
        <f>+VLOOKUP(A3,B3:AE26,11,0)</f>
        <v>162.6</v>
      </c>
      <c r="M28" s="206">
        <f>+VLOOKUP(A3,B3:AE26,12,0)</f>
        <v>16.9</v>
      </c>
      <c r="N28" s="206">
        <f>+VLOOKUP(A3,B3:AE26,13,0)</f>
        <v>58</v>
      </c>
      <c r="O28" s="206">
        <f>+VLOOKUP(A3,B3:AE26,14,0)</f>
        <v>0.0568</v>
      </c>
      <c r="P28" s="132">
        <f>+VLOOKUP(A3,B3:AE26,15,0)</f>
        <v>3.2944</v>
      </c>
      <c r="Q28" s="117">
        <f>+VLOOKUP(A3,B3:AE26,16,0)</f>
        <v>9883.2</v>
      </c>
      <c r="R28" s="117">
        <f>+VLOOKUP(A3,B3:AE26,17,0)</f>
        <v>29649.6</v>
      </c>
      <c r="S28" s="118">
        <f t="shared" si="7"/>
        <v>19766.399999999998</v>
      </c>
      <c r="T28" s="132">
        <f>+VLOOKUP(A3,B3:AE26,19,0)</f>
        <v>3000</v>
      </c>
      <c r="U28" s="132">
        <f>+VLOOKUP(A3,B3:AE26,20,0)</f>
        <v>7400</v>
      </c>
      <c r="V28" s="132">
        <f>+U28-T28</f>
        <v>4400</v>
      </c>
      <c r="W28" s="185">
        <f>+'Dati scambiatore a piastre 1'!B8</f>
        <v>1976</v>
      </c>
      <c r="X28" s="185">
        <f>+'Dati scambiatore a piastre 1'!B20</f>
        <v>2000</v>
      </c>
      <c r="Y28" s="117">
        <f>+(X28+W28)/2</f>
        <v>1988</v>
      </c>
      <c r="Z28" s="186">
        <f>+MIN(MAX((Y28-Q28)*(V28/S28)+T28,T28),U28)</f>
        <v>3000</v>
      </c>
      <c r="AA28" s="117">
        <f>+VLOOKUP(A3,B3:AE26,26,0)</f>
        <v>24378.56</v>
      </c>
      <c r="AB28" s="186">
        <f>+Z28*P28</f>
        <v>9883.2</v>
      </c>
      <c r="AC28" s="10"/>
      <c r="AD28" s="10"/>
      <c r="AE28" s="132">
        <f>+VLOOKUP(A3,B3:AE26,30,0)</f>
        <v>22.542799999999996</v>
      </c>
    </row>
  </sheetData>
  <sheetProtection password="E369" sheet="1"/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C1">
      <selection activeCell="I32" sqref="I32"/>
    </sheetView>
  </sheetViews>
  <sheetFormatPr defaultColWidth="9.140625" defaultRowHeight="12.75"/>
  <cols>
    <col min="1" max="1" width="55.140625" style="4" customWidth="1"/>
    <col min="2" max="2" width="7.00390625" style="4" customWidth="1"/>
    <col min="3" max="3" width="23.140625" style="4" customWidth="1"/>
    <col min="4" max="4" width="17.421875" style="4" customWidth="1"/>
    <col min="5" max="5" width="6.140625" style="4" customWidth="1"/>
    <col min="6" max="6" width="7.8515625" style="4" customWidth="1"/>
    <col min="7" max="7" width="9.28125" style="4" customWidth="1"/>
    <col min="8" max="8" width="13.140625" style="4" customWidth="1"/>
    <col min="9" max="9" width="14.140625" style="4" customWidth="1"/>
    <col min="10" max="10" width="10.28125" style="4" customWidth="1"/>
    <col min="11" max="11" width="11.57421875" style="4" customWidth="1"/>
    <col min="12" max="12" width="20.57421875" style="2" customWidth="1"/>
    <col min="13" max="13" width="13.140625" style="4" customWidth="1"/>
    <col min="14" max="19" width="9.28125" style="4" bestFit="1" customWidth="1"/>
    <col min="20" max="20" width="14.140625" style="4" customWidth="1"/>
    <col min="21" max="21" width="13.140625" style="4" customWidth="1"/>
    <col min="22" max="16384" width="9.140625" style="4" customWidth="1"/>
  </cols>
  <sheetData>
    <row r="1" spans="1:25" ht="12.75">
      <c r="A1" s="2"/>
      <c r="B1" s="2"/>
      <c r="C1" s="2"/>
      <c r="D1" s="8"/>
      <c r="E1" s="2"/>
      <c r="I1" s="2"/>
      <c r="J1" s="2"/>
      <c r="L1" s="8"/>
      <c r="M1" s="2"/>
      <c r="N1" s="2"/>
      <c r="O1" s="2"/>
      <c r="R1" s="2"/>
      <c r="S1" s="2"/>
      <c r="T1" s="2"/>
      <c r="U1" s="2"/>
      <c r="W1" s="2"/>
      <c r="X1" s="2"/>
      <c r="Y1" s="2"/>
    </row>
    <row r="2" spans="1:25" ht="12.75">
      <c r="A2" s="6" t="s">
        <v>9</v>
      </c>
      <c r="B2" s="2"/>
      <c r="C2" s="2"/>
      <c r="D2" s="8"/>
      <c r="E2" s="2"/>
      <c r="H2" s="31" t="s">
        <v>5</v>
      </c>
      <c r="I2" s="31" t="s">
        <v>6</v>
      </c>
      <c r="J2" s="38" t="s">
        <v>39</v>
      </c>
      <c r="K2" s="38" t="s">
        <v>40</v>
      </c>
      <c r="L2" s="2" t="s">
        <v>144</v>
      </c>
      <c r="M2" s="2"/>
      <c r="N2" s="2"/>
      <c r="O2" s="2"/>
      <c r="R2" s="2"/>
      <c r="S2" s="2"/>
      <c r="T2" s="2"/>
      <c r="U2" s="2"/>
      <c r="W2" s="2"/>
      <c r="X2" s="2"/>
      <c r="Y2" s="2"/>
    </row>
    <row r="3" spans="1:12" ht="12.75">
      <c r="A3" s="98" t="str">
        <f>+'Dati scambiatore a piastre 1'!A6</f>
        <v>100 % Acqua (temperatura di protezione = 0 °C)</v>
      </c>
      <c r="B3" s="2">
        <v>1</v>
      </c>
      <c r="C3" s="97" t="s">
        <v>0</v>
      </c>
      <c r="G3" s="4">
        <v>0</v>
      </c>
      <c r="H3" s="7">
        <v>4187</v>
      </c>
      <c r="I3" s="9">
        <f aca="true" t="shared" si="0" ref="I3:I11">+H3/4187</f>
        <v>1</v>
      </c>
      <c r="J3" s="39">
        <v>1</v>
      </c>
      <c r="K3" s="39">
        <v>1</v>
      </c>
      <c r="L3" s="208">
        <v>1</v>
      </c>
    </row>
    <row r="4" spans="1:12" ht="12.75">
      <c r="A4" s="5"/>
      <c r="B4" s="2">
        <v>2</v>
      </c>
      <c r="C4" s="97" t="s">
        <v>24</v>
      </c>
      <c r="G4" s="4">
        <v>15</v>
      </c>
      <c r="H4" s="4">
        <f aca="true" t="shared" si="1" ref="H4:H10">+(100-G4)/100*H$3+(G4/100)*H$11</f>
        <v>3933.95</v>
      </c>
      <c r="I4" s="9">
        <f t="shared" si="0"/>
        <v>0.9395629328875089</v>
      </c>
      <c r="J4" s="39">
        <v>0.98</v>
      </c>
      <c r="K4" s="39">
        <v>1.08</v>
      </c>
      <c r="L4" s="207">
        <f>+(100-G4)/100*L$3+(G4/100)*L$11</f>
        <v>1.006</v>
      </c>
    </row>
    <row r="5" spans="1:12" ht="12.75">
      <c r="A5" s="5"/>
      <c r="B5" s="2">
        <v>3</v>
      </c>
      <c r="C5" s="97" t="s">
        <v>25</v>
      </c>
      <c r="G5" s="4">
        <v>20</v>
      </c>
      <c r="H5" s="4">
        <f t="shared" si="1"/>
        <v>3849.6000000000004</v>
      </c>
      <c r="I5" s="9">
        <f t="shared" si="0"/>
        <v>0.919417243850012</v>
      </c>
      <c r="J5" s="39">
        <v>0.97</v>
      </c>
      <c r="K5" s="39">
        <v>1.11</v>
      </c>
      <c r="L5" s="207">
        <f aca="true" t="shared" si="2" ref="L5:L10">+(100-G5)/100*L$3+(G5/100)*L$11</f>
        <v>1.008</v>
      </c>
    </row>
    <row r="6" spans="2:12" ht="12.75">
      <c r="B6" s="2">
        <v>4</v>
      </c>
      <c r="C6" s="97" t="s">
        <v>26</v>
      </c>
      <c r="G6" s="4">
        <v>25</v>
      </c>
      <c r="H6" s="4">
        <f t="shared" si="1"/>
        <v>3765.25</v>
      </c>
      <c r="I6" s="9">
        <f t="shared" si="0"/>
        <v>0.899271554812515</v>
      </c>
      <c r="J6" s="39">
        <v>0.96</v>
      </c>
      <c r="K6" s="39">
        <v>1.15</v>
      </c>
      <c r="L6" s="207">
        <f t="shared" si="2"/>
        <v>1.01</v>
      </c>
    </row>
    <row r="7" spans="1:12" ht="12.75">
      <c r="A7" s="5"/>
      <c r="B7" s="2">
        <v>5</v>
      </c>
      <c r="C7" s="97" t="s">
        <v>27</v>
      </c>
      <c r="G7" s="4">
        <v>30</v>
      </c>
      <c r="H7" s="4">
        <f t="shared" si="1"/>
        <v>3680.8999999999996</v>
      </c>
      <c r="I7" s="9">
        <f t="shared" si="0"/>
        <v>0.8791258657750178</v>
      </c>
      <c r="J7" s="39">
        <v>0.95</v>
      </c>
      <c r="K7" s="39">
        <v>1.19</v>
      </c>
      <c r="L7" s="207">
        <f t="shared" si="2"/>
        <v>1.012</v>
      </c>
    </row>
    <row r="8" spans="2:12" ht="12.75">
      <c r="B8" s="2">
        <v>6</v>
      </c>
      <c r="C8" s="97" t="s">
        <v>28</v>
      </c>
      <c r="G8" s="4">
        <v>35</v>
      </c>
      <c r="H8" s="4">
        <f t="shared" si="1"/>
        <v>3596.55</v>
      </c>
      <c r="I8" s="9">
        <f t="shared" si="0"/>
        <v>0.8589801767375209</v>
      </c>
      <c r="J8" s="39">
        <v>0.94</v>
      </c>
      <c r="K8" s="39">
        <v>1.23</v>
      </c>
      <c r="L8" s="207">
        <f t="shared" si="2"/>
        <v>1.014</v>
      </c>
    </row>
    <row r="9" spans="1:12" ht="12.75">
      <c r="A9" s="5"/>
      <c r="B9" s="2">
        <v>7</v>
      </c>
      <c r="C9" s="97" t="s">
        <v>29</v>
      </c>
      <c r="G9" s="4">
        <v>40</v>
      </c>
      <c r="H9" s="4">
        <f t="shared" si="1"/>
        <v>3512.2</v>
      </c>
      <c r="I9" s="9">
        <f t="shared" si="0"/>
        <v>0.8388344877000239</v>
      </c>
      <c r="J9" s="39">
        <v>0.93</v>
      </c>
      <c r="K9" s="39">
        <v>1.26</v>
      </c>
      <c r="L9" s="207">
        <f t="shared" si="2"/>
        <v>1.016</v>
      </c>
    </row>
    <row r="10" spans="2:12" ht="12.75">
      <c r="B10" s="2">
        <v>8</v>
      </c>
      <c r="C10" s="97" t="s">
        <v>30</v>
      </c>
      <c r="G10" s="4">
        <v>45</v>
      </c>
      <c r="H10" s="4">
        <f t="shared" si="1"/>
        <v>3427.8500000000004</v>
      </c>
      <c r="I10" s="9">
        <f t="shared" si="0"/>
        <v>0.818688798662527</v>
      </c>
      <c r="J10" s="39">
        <v>0.92</v>
      </c>
      <c r="K10" s="39">
        <v>1.3</v>
      </c>
      <c r="L10" s="207">
        <f t="shared" si="2"/>
        <v>1.018</v>
      </c>
    </row>
    <row r="11" spans="2:12" ht="12.75">
      <c r="B11" s="2"/>
      <c r="C11" s="3" t="s">
        <v>31</v>
      </c>
      <c r="G11" s="4">
        <v>100</v>
      </c>
      <c r="H11" s="7">
        <v>2500</v>
      </c>
      <c r="I11" s="9">
        <f t="shared" si="0"/>
        <v>0.5970862192500597</v>
      </c>
      <c r="J11" s="40"/>
      <c r="K11" s="40"/>
      <c r="L11" s="208">
        <v>1.04</v>
      </c>
    </row>
    <row r="12" spans="1:12" ht="12.75">
      <c r="A12" s="7" t="s">
        <v>4</v>
      </c>
      <c r="C12" s="6"/>
      <c r="I12" s="10">
        <f>VLOOKUP($A$3,$C3:$K10,7,0)</f>
        <v>1</v>
      </c>
      <c r="J12" s="10">
        <f>VLOOKUP($A$3,$C3:$K10,8,0)</f>
        <v>1</v>
      </c>
      <c r="K12" s="10">
        <f>VLOOKUP($A$3,$C3:$K10,9,0)</f>
        <v>1</v>
      </c>
      <c r="L12" s="42">
        <f>VLOOKUP($A$3,$C3:$L10,10,0)</f>
        <v>1</v>
      </c>
    </row>
    <row r="13" ht="12.75">
      <c r="I13" s="7"/>
    </row>
    <row r="15" spans="1:11" ht="12.75">
      <c r="A15" s="44" t="s">
        <v>42</v>
      </c>
      <c r="B15" s="43">
        <f>+('Dati scambiatore a piastre 1'!B35+'Dati scambiatore a piastre 1'!B36)/2</f>
        <v>43.97272981113221</v>
      </c>
      <c r="K15" s="42">
        <f>0.93+((100-B15)^1.36)/1000</f>
        <v>1.1686839792011376</v>
      </c>
    </row>
  </sheetData>
  <sheetProtection password="E369" sheet="1"/>
  <printOptions/>
  <pageMargins left="0.75" right="0.75" top="1" bottom="1" header="0.5" footer="0.5"/>
  <pageSetup horizontalDpi="150" verticalDpi="15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C1">
      <selection activeCell="L31" sqref="L31"/>
    </sheetView>
  </sheetViews>
  <sheetFormatPr defaultColWidth="9.140625" defaultRowHeight="12.75"/>
  <cols>
    <col min="1" max="1" width="54.57421875" style="4" customWidth="1"/>
    <col min="2" max="4" width="9.28125" style="4" bestFit="1" customWidth="1"/>
    <col min="5" max="5" width="12.421875" style="4" bestFit="1" customWidth="1"/>
    <col min="6" max="6" width="23.57421875" style="4" customWidth="1"/>
    <col min="7" max="7" width="8.28125" style="4" customWidth="1"/>
    <col min="8" max="8" width="10.8515625" style="4" customWidth="1"/>
    <col min="9" max="9" width="13.57421875" style="4" customWidth="1"/>
    <col min="10" max="10" width="10.8515625" style="4" customWidth="1"/>
    <col min="11" max="11" width="11.421875" style="4" customWidth="1"/>
    <col min="12" max="12" width="19.00390625" style="4" customWidth="1"/>
    <col min="13" max="18" width="9.28125" style="4" bestFit="1" customWidth="1"/>
    <col min="19" max="19" width="9.140625" style="4" customWidth="1"/>
    <col min="20" max="20" width="14.140625" style="4" customWidth="1"/>
    <col min="21" max="16384" width="9.140625" style="4" customWidth="1"/>
  </cols>
  <sheetData>
    <row r="2" spans="1:12" ht="12.75">
      <c r="A2" s="6" t="s">
        <v>10</v>
      </c>
      <c r="B2" s="2"/>
      <c r="C2" s="2"/>
      <c r="D2" s="8"/>
      <c r="E2" s="2"/>
      <c r="H2" s="4" t="s">
        <v>5</v>
      </c>
      <c r="I2" s="2" t="s">
        <v>6</v>
      </c>
      <c r="J2" s="38" t="s">
        <v>39</v>
      </c>
      <c r="K2" s="38" t="s">
        <v>40</v>
      </c>
      <c r="L2" s="2" t="s">
        <v>144</v>
      </c>
    </row>
    <row r="3" spans="1:12" ht="12.75">
      <c r="A3" s="1" t="str">
        <f>+'Dati scambiatore a piastre 1'!A18</f>
        <v>100 % Acqua (temperatura di protezione = 0 °C)</v>
      </c>
      <c r="B3" s="2">
        <v>1</v>
      </c>
      <c r="C3" s="3" t="s">
        <v>0</v>
      </c>
      <c r="G3" s="4">
        <v>0</v>
      </c>
      <c r="H3" s="7">
        <v>4187</v>
      </c>
      <c r="I3" s="9">
        <f aca="true" t="shared" si="0" ref="I3:I11">+H3/4187</f>
        <v>1</v>
      </c>
      <c r="J3" s="39">
        <v>1</v>
      </c>
      <c r="K3" s="39">
        <v>1</v>
      </c>
      <c r="L3" s="208">
        <v>1</v>
      </c>
    </row>
    <row r="4" spans="1:12" ht="12.75">
      <c r="A4" s="5"/>
      <c r="B4" s="2">
        <v>2</v>
      </c>
      <c r="C4" s="3" t="s">
        <v>24</v>
      </c>
      <c r="G4" s="4">
        <v>15</v>
      </c>
      <c r="H4" s="4">
        <f aca="true" t="shared" si="1" ref="H4:H10">+(100-G4)/100*H$3+(G4/100)*H$11</f>
        <v>3933.95</v>
      </c>
      <c r="I4" s="9">
        <f t="shared" si="0"/>
        <v>0.9395629328875089</v>
      </c>
      <c r="J4" s="39">
        <v>0.98</v>
      </c>
      <c r="K4" s="39">
        <v>1.08</v>
      </c>
      <c r="L4" s="207">
        <f>+(100-G4)/100*L$3+(G4/100)*L$11</f>
        <v>1.006</v>
      </c>
    </row>
    <row r="5" spans="1:12" ht="12.75">
      <c r="A5" s="5"/>
      <c r="B5" s="2">
        <v>3</v>
      </c>
      <c r="C5" s="3" t="s">
        <v>25</v>
      </c>
      <c r="G5" s="4">
        <v>20</v>
      </c>
      <c r="H5" s="4">
        <f t="shared" si="1"/>
        <v>3849.6000000000004</v>
      </c>
      <c r="I5" s="9">
        <f t="shared" si="0"/>
        <v>0.919417243850012</v>
      </c>
      <c r="J5" s="39">
        <v>0.97</v>
      </c>
      <c r="K5" s="39">
        <v>1.11</v>
      </c>
      <c r="L5" s="207">
        <f aca="true" t="shared" si="2" ref="L5:L10">+(100-G5)/100*L$3+(G5/100)*L$11</f>
        <v>1.008</v>
      </c>
    </row>
    <row r="6" spans="2:12" ht="12.75">
      <c r="B6" s="2">
        <v>4</v>
      </c>
      <c r="C6" s="3" t="s">
        <v>26</v>
      </c>
      <c r="G6" s="4">
        <v>25</v>
      </c>
      <c r="H6" s="4">
        <f t="shared" si="1"/>
        <v>3765.25</v>
      </c>
      <c r="I6" s="9">
        <f t="shared" si="0"/>
        <v>0.899271554812515</v>
      </c>
      <c r="J6" s="39">
        <v>0.96</v>
      </c>
      <c r="K6" s="39">
        <v>1.15</v>
      </c>
      <c r="L6" s="207">
        <f t="shared" si="2"/>
        <v>1.01</v>
      </c>
    </row>
    <row r="7" spans="1:12" ht="12.75">
      <c r="A7" s="5"/>
      <c r="B7" s="2">
        <v>5</v>
      </c>
      <c r="C7" s="3" t="s">
        <v>27</v>
      </c>
      <c r="G7" s="4">
        <v>30</v>
      </c>
      <c r="H7" s="4">
        <f t="shared" si="1"/>
        <v>3680.8999999999996</v>
      </c>
      <c r="I7" s="9">
        <f t="shared" si="0"/>
        <v>0.8791258657750178</v>
      </c>
      <c r="J7" s="39">
        <v>0.95</v>
      </c>
      <c r="K7" s="39">
        <v>1.19</v>
      </c>
      <c r="L7" s="207">
        <f t="shared" si="2"/>
        <v>1.012</v>
      </c>
    </row>
    <row r="8" spans="2:12" ht="12.75">
      <c r="B8" s="2">
        <v>6</v>
      </c>
      <c r="C8" s="3" t="s">
        <v>28</v>
      </c>
      <c r="G8" s="4">
        <v>35</v>
      </c>
      <c r="H8" s="4">
        <f t="shared" si="1"/>
        <v>3596.55</v>
      </c>
      <c r="I8" s="9">
        <f t="shared" si="0"/>
        <v>0.8589801767375209</v>
      </c>
      <c r="J8" s="39">
        <v>0.94</v>
      </c>
      <c r="K8" s="39">
        <v>1.23</v>
      </c>
      <c r="L8" s="207">
        <f t="shared" si="2"/>
        <v>1.014</v>
      </c>
    </row>
    <row r="9" spans="1:12" ht="12.75">
      <c r="A9" s="5"/>
      <c r="B9" s="2">
        <v>7</v>
      </c>
      <c r="C9" s="3" t="s">
        <v>29</v>
      </c>
      <c r="G9" s="4">
        <v>40</v>
      </c>
      <c r="H9" s="4">
        <f t="shared" si="1"/>
        <v>3512.2</v>
      </c>
      <c r="I9" s="9">
        <f t="shared" si="0"/>
        <v>0.8388344877000239</v>
      </c>
      <c r="J9" s="39">
        <v>0.93</v>
      </c>
      <c r="K9" s="39">
        <v>1.26</v>
      </c>
      <c r="L9" s="207">
        <f t="shared" si="2"/>
        <v>1.016</v>
      </c>
    </row>
    <row r="10" spans="2:12" ht="12.75">
      <c r="B10" s="2">
        <v>8</v>
      </c>
      <c r="C10" s="3" t="s">
        <v>30</v>
      </c>
      <c r="G10" s="4">
        <v>45</v>
      </c>
      <c r="H10" s="4">
        <f t="shared" si="1"/>
        <v>3427.8500000000004</v>
      </c>
      <c r="I10" s="9">
        <f t="shared" si="0"/>
        <v>0.818688798662527</v>
      </c>
      <c r="J10" s="39">
        <v>0.92</v>
      </c>
      <c r="K10" s="39">
        <v>1.3</v>
      </c>
      <c r="L10" s="207">
        <f t="shared" si="2"/>
        <v>1.018</v>
      </c>
    </row>
    <row r="11" spans="3:12" ht="12.75">
      <c r="C11" s="3" t="s">
        <v>31</v>
      </c>
      <c r="G11" s="4">
        <v>100</v>
      </c>
      <c r="H11" s="7">
        <v>2500</v>
      </c>
      <c r="I11" s="9">
        <f t="shared" si="0"/>
        <v>0.5970862192500597</v>
      </c>
      <c r="L11" s="208">
        <v>1.04</v>
      </c>
    </row>
    <row r="12" spans="1:12" ht="12.75">
      <c r="A12" s="7" t="s">
        <v>4</v>
      </c>
      <c r="C12" s="6"/>
      <c r="I12" s="10">
        <f>VLOOKUP($A$3,$C3:$K10,7,0)</f>
        <v>1</v>
      </c>
      <c r="J12" s="10">
        <f>VLOOKUP($A$3,$C3:$K10,8,0)</f>
        <v>1</v>
      </c>
      <c r="K12" s="10">
        <f>VLOOKUP($A$3,$C3:$K10,9,0)</f>
        <v>1</v>
      </c>
      <c r="L12" s="42">
        <f>VLOOKUP($A$3,$C3:$L10,10,0)</f>
        <v>1</v>
      </c>
    </row>
    <row r="15" spans="1:11" ht="12.75">
      <c r="A15" s="44" t="s">
        <v>42</v>
      </c>
      <c r="B15" s="43">
        <f>+('Dati scambiatore a piastre 1'!B40+'Dati scambiatore a piastre 1'!B41)/2</f>
        <v>32.83494294660137</v>
      </c>
      <c r="K15" s="42">
        <f>0.93+((100-B15)^1.36)/1000</f>
        <v>1.2354323317368008</v>
      </c>
    </row>
  </sheetData>
  <sheetProtection password="E369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 Stefano</dc:creator>
  <cp:keywords/>
  <dc:description/>
  <cp:lastModifiedBy>Gerson</cp:lastModifiedBy>
  <cp:lastPrinted>2008-01-17T19:27:08Z</cp:lastPrinted>
  <dcterms:created xsi:type="dcterms:W3CDTF">2003-09-20T07:43:43Z</dcterms:created>
  <dcterms:modified xsi:type="dcterms:W3CDTF">2012-05-01T12:52:07Z</dcterms:modified>
  <cp:category/>
  <cp:version/>
  <cp:contentType/>
  <cp:contentStatus/>
</cp:coreProperties>
</file>